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3945" windowWidth="15420" windowHeight="3990"/>
    <workbookView xWindow="-15" yWindow="-15" windowWidth="15420" windowHeight="3960"/>
  </bookViews>
  <sheets>
    <sheet name="Inputs-Outputs" sheetId="1" r:id="rId1"/>
    <sheet name="CF Detail" sheetId="2" r:id="rId2"/>
    <sheet name="Depn-ATSV" sheetId="3" r:id="rId3"/>
    <sheet name="Payback" sheetId="4" r:id="rId4"/>
    <sheet name="IRR-MIRR" sheetId="5" r:id="rId5"/>
  </sheets>
  <definedNames>
    <definedName name="Life">'Inputs-Outputs'!$G$6</definedName>
    <definedName name="TaxRate">'Inputs-Outputs'!$J$5</definedName>
  </definedNames>
  <calcPr calcId="125725"/>
</workbook>
</file>

<file path=xl/calcChain.xml><?xml version="1.0" encoding="utf-8"?>
<calcChain xmlns="http://schemas.openxmlformats.org/spreadsheetml/2006/main">
  <c r="L24" i="2"/>
  <c r="C30" i="1" s="1"/>
  <c r="M24" i="2"/>
  <c r="L4" i="4" s="1"/>
  <c r="L12" s="1"/>
  <c r="E23" i="2"/>
  <c r="F23"/>
  <c r="G23"/>
  <c r="H23"/>
  <c r="I23"/>
  <c r="J23"/>
  <c r="L23"/>
  <c r="M23"/>
  <c r="D23"/>
  <c r="D22"/>
  <c r="K59" i="3"/>
  <c r="K56"/>
  <c r="K62" s="1"/>
  <c r="D59"/>
  <c r="D56"/>
  <c r="D62" s="1"/>
  <c r="E22" i="2"/>
  <c r="F22"/>
  <c r="G22"/>
  <c r="H22"/>
  <c r="I22"/>
  <c r="J22"/>
  <c r="L22"/>
  <c r="M22"/>
  <c r="L15"/>
  <c r="M15"/>
  <c r="K34" i="3"/>
  <c r="L34"/>
  <c r="K35"/>
  <c r="L35"/>
  <c r="L36" s="1"/>
  <c r="K36"/>
  <c r="L19" i="2"/>
  <c r="M19"/>
  <c r="L16"/>
  <c r="M16"/>
  <c r="L17"/>
  <c r="M17"/>
  <c r="L18"/>
  <c r="M18"/>
  <c r="L20"/>
  <c r="M20"/>
  <c r="L14"/>
  <c r="M14"/>
  <c r="D14"/>
  <c r="E14" s="1"/>
  <c r="F14" s="1"/>
  <c r="G14" s="1"/>
  <c r="H14" s="1"/>
  <c r="I14" s="1"/>
  <c r="J14" s="1"/>
  <c r="K14" s="1"/>
  <c r="L13"/>
  <c r="M13"/>
  <c r="D13"/>
  <c r="E13" s="1"/>
  <c r="F13" s="1"/>
  <c r="D47" i="3"/>
  <c r="D44"/>
  <c r="D7" i="2"/>
  <c r="K22" s="1"/>
  <c r="E146" i="5"/>
  <c r="F146"/>
  <c r="J129"/>
  <c r="J130"/>
  <c r="J136" s="1"/>
  <c r="J131"/>
  <c r="J132"/>
  <c r="J133"/>
  <c r="J134"/>
  <c r="J135"/>
  <c r="I130"/>
  <c r="I131"/>
  <c r="I132"/>
  <c r="I133"/>
  <c r="I134"/>
  <c r="I135"/>
  <c r="I129"/>
  <c r="I136" s="1"/>
  <c r="E139"/>
  <c r="F138"/>
  <c r="E138"/>
  <c r="F137"/>
  <c r="F139" s="1"/>
  <c r="E102"/>
  <c r="F101"/>
  <c r="J95" s="1"/>
  <c r="E101"/>
  <c r="I93" s="1"/>
  <c r="F100"/>
  <c r="F102" s="1"/>
  <c r="F75"/>
  <c r="F77" s="1"/>
  <c r="J64" s="1"/>
  <c r="E77"/>
  <c r="I64" s="1"/>
  <c r="F76"/>
  <c r="E76"/>
  <c r="G18"/>
  <c r="E60"/>
  <c r="I41" s="1"/>
  <c r="H50" i="3"/>
  <c r="B50"/>
  <c r="C31" i="1" l="1"/>
  <c r="K4" i="4"/>
  <c r="K12" s="1"/>
  <c r="G13" i="2"/>
  <c r="H13" s="1"/>
  <c r="I98" i="5"/>
  <c r="I94"/>
  <c r="J96"/>
  <c r="J92"/>
  <c r="I92"/>
  <c r="I95"/>
  <c r="J97"/>
  <c r="J93"/>
  <c r="I96"/>
  <c r="J98"/>
  <c r="J94"/>
  <c r="I97"/>
  <c r="G21" i="3"/>
  <c r="G20"/>
  <c r="G19"/>
  <c r="K52" s="1"/>
  <c r="C22"/>
  <c r="C21"/>
  <c r="C20"/>
  <c r="C19"/>
  <c r="D5" i="2"/>
  <c r="D4"/>
  <c r="D3"/>
  <c r="B15" i="1"/>
  <c r="D40" i="3" l="1"/>
  <c r="D52"/>
  <c r="C26"/>
  <c r="F35" s="1"/>
  <c r="C24"/>
  <c r="G24"/>
  <c r="G26"/>
  <c r="G34" s="1"/>
  <c r="I13" i="2"/>
  <c r="G30" i="3"/>
  <c r="I30"/>
  <c r="K30"/>
  <c r="E30"/>
  <c r="F30"/>
  <c r="H30"/>
  <c r="J30"/>
  <c r="L30"/>
  <c r="C25"/>
  <c r="I99" i="5"/>
  <c r="I101" s="1"/>
  <c r="J99"/>
  <c r="J101" s="1"/>
  <c r="H34" i="3" l="1"/>
  <c r="D34"/>
  <c r="I34"/>
  <c r="E34"/>
  <c r="I35"/>
  <c r="E35"/>
  <c r="H35"/>
  <c r="D35"/>
  <c r="J34"/>
  <c r="F34"/>
  <c r="F36" s="1"/>
  <c r="G15" i="2" s="1"/>
  <c r="C34" i="3"/>
  <c r="M34" s="1"/>
  <c r="K53" s="1"/>
  <c r="K54" s="1"/>
  <c r="K57" s="1"/>
  <c r="K58" s="1"/>
  <c r="K60" s="1"/>
  <c r="K63" s="1"/>
  <c r="K64" s="1"/>
  <c r="C35"/>
  <c r="G35"/>
  <c r="G36" s="1"/>
  <c r="H15" i="2" s="1"/>
  <c r="J35" i="3"/>
  <c r="C30"/>
  <c r="G25"/>
  <c r="J13" i="2"/>
  <c r="D30" i="3"/>
  <c r="C36" l="1"/>
  <c r="D15" i="2" s="1"/>
  <c r="D19" s="1"/>
  <c r="M35" i="3"/>
  <c r="H19" i="2"/>
  <c r="H16"/>
  <c r="H17" s="1"/>
  <c r="H18" s="1"/>
  <c r="D16"/>
  <c r="D17" s="1"/>
  <c r="D18" s="1"/>
  <c r="G19"/>
  <c r="G16"/>
  <c r="G17" s="1"/>
  <c r="G18" s="1"/>
  <c r="E36" i="3"/>
  <c r="F15" i="2" s="1"/>
  <c r="D36" i="3"/>
  <c r="E15" i="2" s="1"/>
  <c r="J36" i="3"/>
  <c r="K15" i="2" s="1"/>
  <c r="K19" s="1"/>
  <c r="I36" i="3"/>
  <c r="J15" i="2" s="1"/>
  <c r="J19" s="1"/>
  <c r="H36" i="3"/>
  <c r="I15" i="2" s="1"/>
  <c r="M30" i="3"/>
  <c r="K13" i="2"/>
  <c r="K16" s="1"/>
  <c r="J16"/>
  <c r="J17" s="1"/>
  <c r="J18" s="1"/>
  <c r="J20" s="1"/>
  <c r="J24" s="1"/>
  <c r="G20" l="1"/>
  <c r="G24" s="1"/>
  <c r="C25" i="1" s="1"/>
  <c r="H20" i="2"/>
  <c r="H24" s="1"/>
  <c r="D41" i="3"/>
  <c r="D42" s="1"/>
  <c r="D45" s="1"/>
  <c r="D46" s="1"/>
  <c r="D48" s="1"/>
  <c r="D6" i="2" s="1"/>
  <c r="D8" s="1"/>
  <c r="D53" i="3"/>
  <c r="D54" s="1"/>
  <c r="D57" s="1"/>
  <c r="D58" s="1"/>
  <c r="D60" s="1"/>
  <c r="D63" s="1"/>
  <c r="D64" s="1"/>
  <c r="K66" s="1"/>
  <c r="K23" i="2" s="1"/>
  <c r="F4" i="4"/>
  <c r="F12" s="1"/>
  <c r="G4"/>
  <c r="G12" s="1"/>
  <c r="C26" i="1"/>
  <c r="I4" i="4"/>
  <c r="I12" s="1"/>
  <c r="C28" i="1"/>
  <c r="D20" i="2"/>
  <c r="D24" s="1"/>
  <c r="I19"/>
  <c r="I16"/>
  <c r="I17" s="1"/>
  <c r="I18" s="1"/>
  <c r="F19"/>
  <c r="F16"/>
  <c r="F17" s="1"/>
  <c r="F18" s="1"/>
  <c r="E16"/>
  <c r="E17" s="1"/>
  <c r="E18" s="1"/>
  <c r="E19"/>
  <c r="K17"/>
  <c r="K18" s="1"/>
  <c r="K20" s="1"/>
  <c r="F20" l="1"/>
  <c r="F24" s="1"/>
  <c r="C24" i="1" s="1"/>
  <c r="I20" i="2"/>
  <c r="I24" s="1"/>
  <c r="C27" i="1" s="1"/>
  <c r="E4" i="4"/>
  <c r="E12" s="1"/>
  <c r="H4"/>
  <c r="H12" s="1"/>
  <c r="C4"/>
  <c r="C12" s="1"/>
  <c r="C22" i="1"/>
  <c r="B4" i="4"/>
  <c r="B12" s="1"/>
  <c r="C21" i="1"/>
  <c r="E20" i="2"/>
  <c r="E24" s="1"/>
  <c r="K24"/>
  <c r="D4" i="4" l="1"/>
  <c r="D12" s="1"/>
  <c r="C23" i="1"/>
  <c r="F21" s="1"/>
  <c r="J4" i="4"/>
  <c r="J12" s="1"/>
  <c r="C29" i="1"/>
  <c r="F20" l="1"/>
</calcChain>
</file>

<file path=xl/sharedStrings.xml><?xml version="1.0" encoding="utf-8"?>
<sst xmlns="http://schemas.openxmlformats.org/spreadsheetml/2006/main" count="229" uniqueCount="150">
  <si>
    <t>Original Cost</t>
  </si>
  <si>
    <t>Old</t>
  </si>
  <si>
    <t>New</t>
  </si>
  <si>
    <t>Years Owned</t>
  </si>
  <si>
    <t>Net Installation Costs</t>
  </si>
  <si>
    <t>Net Working Capital Investment</t>
  </si>
  <si>
    <t>Cash Operating Revenue</t>
  </si>
  <si>
    <t>Cash Operating Expenses</t>
  </si>
  <si>
    <t>Depreciation Type</t>
  </si>
  <si>
    <t>Depreciation Class</t>
  </si>
  <si>
    <t>Marginal Tax Rate</t>
  </si>
  <si>
    <t>Discount/Hurdle Rate</t>
  </si>
  <si>
    <t>Salvage Value at t=0</t>
  </si>
  <si>
    <t>Cost of New Project</t>
  </si>
  <si>
    <t>-</t>
  </si>
  <si>
    <t>+</t>
  </si>
  <si>
    <t>BTSV of Old Project</t>
  </si>
  <si>
    <t>+/-</t>
  </si>
  <si>
    <t>Tax Effect on Sale of Old Proj</t>
  </si>
  <si>
    <t>Change in NWC</t>
  </si>
  <si>
    <t>Net Initial Outlay</t>
  </si>
  <si>
    <t>Time Dependent</t>
  </si>
  <si>
    <t>INPUTS</t>
  </si>
  <si>
    <t>General</t>
  </si>
  <si>
    <t>Initial Outlay</t>
  </si>
  <si>
    <t>MACRS</t>
  </si>
  <si>
    <t>3-Year</t>
  </si>
  <si>
    <t>Year</t>
  </si>
  <si>
    <t>3-year</t>
  </si>
  <si>
    <t>5-year</t>
  </si>
  <si>
    <t>7-year</t>
  </si>
  <si>
    <t>10-year</t>
  </si>
  <si>
    <t>MACRS Percentages</t>
  </si>
  <si>
    <t>Old Asset at t=0</t>
  </si>
  <si>
    <t>Cost</t>
  </si>
  <si>
    <t>Type</t>
  </si>
  <si>
    <t>Class</t>
  </si>
  <si>
    <t>Years</t>
  </si>
  <si>
    <t>Current Value of Old Project</t>
  </si>
  <si>
    <t>Book Value of Old Project</t>
  </si>
  <si>
    <t>Accumulated Deprecation</t>
  </si>
  <si>
    <t>Gain (Loss) on Sale</t>
  </si>
  <si>
    <t>x</t>
  </si>
  <si>
    <t>Tax Rate x (-1)</t>
  </si>
  <si>
    <t>Tax Effect on Sale</t>
  </si>
  <si>
    <t>Total</t>
  </si>
  <si>
    <t>Incremental Cash Revenue</t>
  </si>
  <si>
    <t>Incremental Cash Expenses</t>
  </si>
  <si>
    <t>Incremental Depreciation</t>
  </si>
  <si>
    <t>Incremental Taxable Income</t>
  </si>
  <si>
    <t xml:space="preserve">Incremental Tax </t>
  </si>
  <si>
    <t>Incemental Net Income</t>
  </si>
  <si>
    <t>Reverse Incremental Depr</t>
  </si>
  <si>
    <t>Old Asset</t>
  </si>
  <si>
    <t>New Asset</t>
  </si>
  <si>
    <t>New Asset at t=0</t>
  </si>
  <si>
    <t>Incr. Depn</t>
  </si>
  <si>
    <t>Recover Incremental NWC</t>
  </si>
  <si>
    <t>Incremental Annual Cash Flow</t>
  </si>
  <si>
    <t>Incremental ATSV</t>
  </si>
  <si>
    <t>Orignal Cost of Old Project</t>
  </si>
  <si>
    <t>Orignal Cost of New Project</t>
  </si>
  <si>
    <t>ATSV for Old Project</t>
  </si>
  <si>
    <t>ATSV for New Project</t>
  </si>
  <si>
    <t>Current Value of New Project</t>
  </si>
  <si>
    <t>Book Value of New Project</t>
  </si>
  <si>
    <t>Tax Effect at t=0 for OLD Project</t>
  </si>
  <si>
    <t>Total Cash Flow</t>
  </si>
  <si>
    <t>OUTPUTS</t>
  </si>
  <si>
    <t>Annual Cash Flows</t>
  </si>
  <si>
    <t>Cash Flows</t>
  </si>
  <si>
    <t>CF</t>
  </si>
  <si>
    <t>t</t>
  </si>
  <si>
    <t>NPV</t>
  </si>
  <si>
    <t>IRR</t>
  </si>
  <si>
    <t>MIRR</t>
  </si>
  <si>
    <t>Payback</t>
  </si>
  <si>
    <t>Disc Payback</t>
  </si>
  <si>
    <t>Eqiv. Ann. Annuity</t>
  </si>
  <si>
    <t>Evaluation Measures</t>
  </si>
  <si>
    <t>Information from the Inputs Page</t>
  </si>
  <si>
    <t>Depreciation on the Old Asset up to t=0:</t>
  </si>
  <si>
    <t>Depreciation on the Old and New Assets from t=0 to end of the project:</t>
  </si>
  <si>
    <t>Disc PB</t>
  </si>
  <si>
    <t>The primary goal of any business to create VALUE (wealth) for</t>
  </si>
  <si>
    <t xml:space="preserve">  its owners. Therefore, any decision criteria for investing the</t>
  </si>
  <si>
    <t xml:space="preserve">  firm's capital should indicate whether or not value is being </t>
  </si>
  <si>
    <t xml:space="preserve">  created and if so, how much. Used correctly, NPV does that.</t>
  </si>
  <si>
    <t>NPV decision rule: If NPV&gt;0 then ACCEPT the project because</t>
  </si>
  <si>
    <t xml:space="preserve">    VALUE is being CREATED equal to the NPV</t>
  </si>
  <si>
    <t>NPV decision rule: If NPV&lt;0 then REJECT the project because</t>
  </si>
  <si>
    <t xml:space="preserve">    VALUE is being DESTROYED equal to the NPV</t>
  </si>
  <si>
    <t>IRR decision rule: If IRR&gt;Required Return then ACCEPT the project</t>
  </si>
  <si>
    <t xml:space="preserve">   because NPV must be positive.</t>
  </si>
  <si>
    <t>IRR decision rule: If IRR&lt;Required Return then REJECT the project</t>
  </si>
  <si>
    <t xml:space="preserve">   because NPV must be negative.</t>
  </si>
  <si>
    <t>Example:</t>
  </si>
  <si>
    <t>Disc Rate</t>
  </si>
  <si>
    <t>But IRR has several problems in special cases:</t>
  </si>
  <si>
    <t>(1)</t>
  </si>
  <si>
    <t>IRR may not have a unique solution:</t>
  </si>
  <si>
    <t>If the signs of the cash flows change more than once, IRR is not unique.</t>
  </si>
  <si>
    <t>There will be one IRR per sign change. More than one IRR means that</t>
  </si>
  <si>
    <t>all of them are correct -- so none of them is usable.</t>
  </si>
  <si>
    <t>Consider these cash flows:</t>
  </si>
  <si>
    <t>Rate</t>
  </si>
  <si>
    <t>(2)</t>
  </si>
  <si>
    <t>IRR cannot be used to rank mutually exclusive projects:</t>
  </si>
  <si>
    <t>Proj A</t>
  </si>
  <si>
    <t>Proj B</t>
  </si>
  <si>
    <t>Disc Rt</t>
  </si>
  <si>
    <t>(3)</t>
  </si>
  <si>
    <t>IRR is only useful if the hurdle rate is the risk-adjusted cost of capital,</t>
  </si>
  <si>
    <t>and that is also what is used as the discount rate for finding NPV.</t>
  </si>
  <si>
    <t>(4)</t>
  </si>
  <si>
    <t xml:space="preserve">IRR assumes that all cash flows are reinvested at the IRR for the </t>
  </si>
  <si>
    <t>duration of the project's life.</t>
  </si>
  <si>
    <t>MIRR fixes most of these problems:</t>
  </si>
  <si>
    <t>Always gives a unique solution</t>
  </si>
  <si>
    <t>Assumes that all cash flows are reinvested at the risk-adjusted cost of capital</t>
  </si>
  <si>
    <t xml:space="preserve">  -- That is -- At the discount rate that is used to find NPV</t>
  </si>
  <si>
    <t>Does BETTER (but not perfectly) at ranking mutually exclusive projects</t>
  </si>
  <si>
    <t>Step 1</t>
  </si>
  <si>
    <t>FV at EOY 7</t>
  </si>
  <si>
    <t>But it is much more likely that the cash flows will be reinvested at the firm's AVERAGE rate of</t>
  </si>
  <si>
    <t>return on projects, which in this case is 10%. So:</t>
  </si>
  <si>
    <t>High IRR's OVERSTATE the actual return on the project</t>
  </si>
  <si>
    <t xml:space="preserve">Low IRR's UNDERSTATE the actual return on the project. </t>
  </si>
  <si>
    <t>This would lead decision makers to choose more high expected return projects (which tend to be</t>
  </si>
  <si>
    <t>riskier) and reject more low expected but still value-creating projects (which tend to be less risky.</t>
  </si>
  <si>
    <t>Over time, this would mean the firm is passing up good value-creating low expected return but low</t>
  </si>
  <si>
    <t>risk projects and favoring high expected return high risk projects (which might not be value</t>
  </si>
  <si>
    <t>creating), so the overal risk of the company would rise.</t>
  </si>
  <si>
    <t>FV at EOY 7 using DR</t>
  </si>
  <si>
    <t>Step 2</t>
  </si>
  <si>
    <t>-- What rate of return would you make</t>
  </si>
  <si>
    <t>over the 7 years if you paid the amount shown</t>
  </si>
  <si>
    <t>at time 0 and received one cash flow at t=7 that is</t>
  </si>
  <si>
    <t>the total FV shown?</t>
  </si>
  <si>
    <t>Excel has a function to find the MIRR:</t>
  </si>
  <si>
    <t>MIRR:</t>
  </si>
  <si>
    <t>Expected Useful Life - 10 or less</t>
  </si>
  <si>
    <t>Net Installation Costs - After Tax</t>
  </si>
  <si>
    <t>SL</t>
  </si>
  <si>
    <t>5-Year</t>
  </si>
  <si>
    <t>7-Year</t>
  </si>
  <si>
    <t>10-Year</t>
  </si>
  <si>
    <t>SL Depn per year</t>
  </si>
  <si>
    <t>Years of SL Depn</t>
  </si>
  <si>
    <t>Column Index for MACRS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</si>
</sst>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5">
    <xf numFmtId="0" fontId="0" fillId="0" borderId="0" xfId="0"/>
    <xf numFmtId="41" fontId="0" fillId="0" borderId="0" xfId="0" applyNumberFormat="1"/>
    <xf numFmtId="41" fontId="0" fillId="0" borderId="0" xfId="0" quotePrefix="1" applyNumberFormat="1" applyAlignment="1">
      <alignment horizontal="center"/>
    </xf>
    <xf numFmtId="41" fontId="3" fillId="0" borderId="0" xfId="0" applyNumberFormat="1" applyFont="1"/>
    <xf numFmtId="41" fontId="0" fillId="0" borderId="0" xfId="0" applyNumberFormat="1" applyAlignment="1">
      <alignment horizontal="center"/>
    </xf>
    <xf numFmtId="41" fontId="0" fillId="0" borderId="2" xfId="0" applyNumberFormat="1" applyBorder="1"/>
    <xf numFmtId="41" fontId="0" fillId="0" borderId="3" xfId="0" applyNumberFormat="1" applyBorder="1"/>
    <xf numFmtId="41" fontId="0" fillId="0" borderId="4" xfId="0" applyNumberFormat="1" applyBorder="1"/>
    <xf numFmtId="41" fontId="0" fillId="0" borderId="5" xfId="0" applyNumberFormat="1" applyBorder="1"/>
    <xf numFmtId="41" fontId="0" fillId="2" borderId="5" xfId="0" applyNumberFormat="1" applyFill="1" applyBorder="1"/>
    <xf numFmtId="41" fontId="0" fillId="0" borderId="6" xfId="0" applyNumberFormat="1" applyBorder="1"/>
    <xf numFmtId="41" fontId="0" fillId="0" borderId="8" xfId="0" applyNumberFormat="1" applyBorder="1"/>
    <xf numFmtId="41" fontId="0" fillId="0" borderId="9" xfId="0" applyNumberFormat="1" applyBorder="1"/>
    <xf numFmtId="41" fontId="0" fillId="0" borderId="10" xfId="0" applyNumberFormat="1" applyBorder="1"/>
    <xf numFmtId="41" fontId="0" fillId="0" borderId="11" xfId="0" applyNumberFormat="1" applyBorder="1"/>
    <xf numFmtId="41" fontId="0" fillId="2" borderId="4" xfId="0" applyNumberFormat="1" applyFill="1" applyBorder="1"/>
    <xf numFmtId="41" fontId="0" fillId="0" borderId="12" xfId="0" applyNumberFormat="1" applyBorder="1"/>
    <xf numFmtId="41" fontId="0" fillId="0" borderId="13" xfId="0" applyNumberFormat="1" applyBorder="1"/>
    <xf numFmtId="10" fontId="0" fillId="0" borderId="14" xfId="2" applyNumberFormat="1" applyFont="1" applyBorder="1"/>
    <xf numFmtId="10" fontId="0" fillId="0" borderId="15" xfId="2" applyNumberFormat="1" applyFont="1" applyBorder="1"/>
    <xf numFmtId="41" fontId="0" fillId="0" borderId="4" xfId="0" applyNumberFormat="1" applyBorder="1" applyAlignment="1">
      <alignment horizontal="center"/>
    </xf>
    <xf numFmtId="10" fontId="7" fillId="0" borderId="0" xfId="0" applyNumberFormat="1" applyFont="1"/>
    <xf numFmtId="0" fontId="0" fillId="0" borderId="0" xfId="0"/>
    <xf numFmtId="41" fontId="0" fillId="0" borderId="0" xfId="0" applyNumberFormat="1"/>
    <xf numFmtId="41" fontId="3" fillId="0" borderId="0" xfId="0" applyNumberFormat="1" applyFont="1"/>
    <xf numFmtId="41" fontId="0" fillId="0" borderId="19" xfId="0" applyNumberFormat="1" applyBorder="1"/>
    <xf numFmtId="10" fontId="0" fillId="0" borderId="1" xfId="2" applyNumberFormat="1" applyFont="1" applyBorder="1"/>
    <xf numFmtId="0" fontId="2" fillId="0" borderId="4" xfId="0" applyFont="1" applyBorder="1" applyAlignment="1">
      <alignment horizontal="center"/>
    </xf>
    <xf numFmtId="10" fontId="0" fillId="0" borderId="5" xfId="2" applyNumberFormat="1" applyFont="1" applyBorder="1"/>
    <xf numFmtId="0" fontId="2" fillId="0" borderId="6" xfId="0" applyFont="1" applyBorder="1" applyAlignment="1">
      <alignment horizontal="center"/>
    </xf>
    <xf numFmtId="10" fontId="0" fillId="0" borderId="8" xfId="2" applyNumberFormat="1" applyFont="1" applyBorder="1"/>
    <xf numFmtId="0" fontId="2" fillId="0" borderId="20" xfId="0" applyFont="1" applyBorder="1" applyAlignment="1">
      <alignment horizontal="center"/>
    </xf>
    <xf numFmtId="10" fontId="0" fillId="0" borderId="21" xfId="2" applyNumberFormat="1" applyFont="1" applyBorder="1"/>
    <xf numFmtId="10" fontId="0" fillId="0" borderId="22" xfId="2" applyNumberFormat="1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0" fontId="0" fillId="2" borderId="1" xfId="2" applyNumberFormat="1" applyFont="1" applyFill="1" applyBorder="1"/>
    <xf numFmtId="10" fontId="0" fillId="2" borderId="7" xfId="2" applyNumberFormat="1" applyFont="1" applyFill="1" applyBorder="1"/>
    <xf numFmtId="41" fontId="2" fillId="0" borderId="0" xfId="0" applyNumberFormat="1" applyFont="1" applyAlignment="1">
      <alignment horizontal="center"/>
    </xf>
    <xf numFmtId="41" fontId="0" fillId="0" borderId="19" xfId="0" applyNumberFormat="1" applyFont="1" applyBorder="1"/>
    <xf numFmtId="0" fontId="0" fillId="0" borderId="19" xfId="0" applyBorder="1"/>
    <xf numFmtId="41" fontId="0" fillId="0" borderId="0" xfId="0" applyNumberFormat="1" applyBorder="1"/>
    <xf numFmtId="0" fontId="0" fillId="0" borderId="0" xfId="0" applyAlignment="1">
      <alignment horizontal="right"/>
    </xf>
    <xf numFmtId="41" fontId="0" fillId="0" borderId="0" xfId="0" applyNumberFormat="1" applyAlignment="1">
      <alignment horizontal="right"/>
    </xf>
    <xf numFmtId="41" fontId="0" fillId="0" borderId="0" xfId="0" applyNumberFormat="1" applyFill="1" applyBorder="1"/>
    <xf numFmtId="41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1" applyNumberFormat="1" applyFont="1" applyBorder="1"/>
    <xf numFmtId="0" fontId="0" fillId="0" borderId="0" xfId="0" quotePrefix="1" applyAlignment="1">
      <alignment horizontal="right"/>
    </xf>
    <xf numFmtId="41" fontId="0" fillId="0" borderId="27" xfId="0" applyNumberFormat="1" applyBorder="1"/>
    <xf numFmtId="41" fontId="0" fillId="0" borderId="28" xfId="0" applyNumberFormat="1" applyBorder="1"/>
    <xf numFmtId="41" fontId="0" fillId="0" borderId="29" xfId="0" applyNumberFormat="1" applyBorder="1"/>
    <xf numFmtId="41" fontId="8" fillId="0" borderId="0" xfId="0" applyNumberFormat="1" applyFont="1" applyAlignment="1">
      <alignment horizontal="center"/>
    </xf>
    <xf numFmtId="41" fontId="0" fillId="0" borderId="17" xfId="0" applyNumberFormat="1" applyBorder="1"/>
    <xf numFmtId="0" fontId="2" fillId="0" borderId="0" xfId="0" applyFont="1"/>
    <xf numFmtId="0" fontId="0" fillId="0" borderId="0" xfId="0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41" fontId="0" fillId="0" borderId="0" xfId="0" applyNumberFormat="1" applyFill="1" applyBorder="1" applyAlignment="1">
      <alignment horizontal="left" indent="1"/>
    </xf>
    <xf numFmtId="41" fontId="3" fillId="0" borderId="0" xfId="0" applyNumberFormat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/>
    </xf>
    <xf numFmtId="44" fontId="7" fillId="0" borderId="0" xfId="0" applyNumberFormat="1" applyFont="1"/>
    <xf numFmtId="0" fontId="0" fillId="4" borderId="30" xfId="0" applyFill="1" applyBorder="1"/>
    <xf numFmtId="0" fontId="0" fillId="0" borderId="0" xfId="0"/>
    <xf numFmtId="41" fontId="0" fillId="0" borderId="0" xfId="0" applyNumberFormat="1"/>
    <xf numFmtId="6" fontId="0" fillId="0" borderId="0" xfId="0" applyNumberFormat="1"/>
    <xf numFmtId="0" fontId="0" fillId="0" borderId="0" xfId="0"/>
    <xf numFmtId="41" fontId="0" fillId="0" borderId="0" xfId="0" applyNumberFormat="1"/>
    <xf numFmtId="41" fontId="0" fillId="0" borderId="4" xfId="0" applyNumberFormat="1" applyBorder="1"/>
    <xf numFmtId="0" fontId="2" fillId="0" borderId="0" xfId="0" applyFont="1"/>
    <xf numFmtId="10" fontId="0" fillId="0" borderId="0" xfId="0" applyNumberFormat="1"/>
    <xf numFmtId="4" fontId="0" fillId="0" borderId="0" xfId="0" applyNumberFormat="1"/>
    <xf numFmtId="3" fontId="0" fillId="0" borderId="0" xfId="0" applyNumberFormat="1"/>
    <xf numFmtId="9" fontId="0" fillId="0" borderId="0" xfId="0" applyNumberFormat="1"/>
    <xf numFmtId="43" fontId="0" fillId="0" borderId="0" xfId="1" applyFont="1"/>
    <xf numFmtId="43" fontId="0" fillId="0" borderId="0" xfId="0" applyNumberFormat="1"/>
    <xf numFmtId="9" fontId="0" fillId="0" borderId="0" xfId="2" applyFont="1"/>
    <xf numFmtId="44" fontId="0" fillId="0" borderId="0" xfId="3" applyFont="1"/>
    <xf numFmtId="0" fontId="2" fillId="0" borderId="0" xfId="0" quotePrefix="1" applyFont="1" applyAlignment="1">
      <alignment horizontal="center"/>
    </xf>
    <xf numFmtId="10" fontId="0" fillId="0" borderId="0" xfId="2" applyNumberFormat="1" applyFont="1"/>
    <xf numFmtId="44" fontId="0" fillId="0" borderId="0" xfId="0" applyNumberFormat="1"/>
    <xf numFmtId="8" fontId="2" fillId="0" borderId="0" xfId="0" applyNumberFormat="1" applyFont="1"/>
    <xf numFmtId="44" fontId="3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2" fillId="0" borderId="0" xfId="0" applyNumberFormat="1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left" indent="1"/>
    </xf>
    <xf numFmtId="10" fontId="0" fillId="4" borderId="30" xfId="0" applyNumberFormat="1" applyFill="1" applyBorder="1"/>
    <xf numFmtId="41" fontId="0" fillId="0" borderId="5" xfId="0" applyNumberFormat="1" applyBorder="1" applyAlignment="1">
      <alignment horizontal="center"/>
    </xf>
    <xf numFmtId="0" fontId="0" fillId="0" borderId="0" xfId="0" applyFill="1" applyBorder="1" applyAlignment="1"/>
    <xf numFmtId="165" fontId="0" fillId="0" borderId="0" xfId="3" applyNumberFormat="1" applyFont="1" applyBorder="1"/>
    <xf numFmtId="0" fontId="0" fillId="0" borderId="0" xfId="0" applyBorder="1" applyAlignment="1">
      <alignment horizontal="center"/>
    </xf>
    <xf numFmtId="10" fontId="0" fillId="0" borderId="19" xfId="0" applyNumberFormat="1" applyBorder="1"/>
    <xf numFmtId="41" fontId="0" fillId="0" borderId="0" xfId="0" quotePrefix="1" applyNumberFormat="1"/>
    <xf numFmtId="41" fontId="3" fillId="0" borderId="0" xfId="0" quotePrefix="1" applyNumberFormat="1" applyFont="1"/>
    <xf numFmtId="0" fontId="0" fillId="0" borderId="0" xfId="0" applyNumberFormat="1" applyAlignment="1">
      <alignment horizontal="center"/>
    </xf>
    <xf numFmtId="165" fontId="0" fillId="0" borderId="0" xfId="3" applyNumberFormat="1" applyFont="1"/>
    <xf numFmtId="41" fontId="5" fillId="3" borderId="16" xfId="0" applyNumberFormat="1" applyFont="1" applyFill="1" applyBorder="1" applyAlignment="1">
      <alignment horizontal="center" vertical="center"/>
    </xf>
    <xf numFmtId="41" fontId="5" fillId="3" borderId="17" xfId="0" applyNumberFormat="1" applyFont="1" applyFill="1" applyBorder="1" applyAlignment="1">
      <alignment horizontal="center" vertical="center"/>
    </xf>
    <xf numFmtId="41" fontId="5" fillId="3" borderId="18" xfId="0" applyNumberFormat="1" applyFont="1" applyFill="1" applyBorder="1" applyAlignment="1">
      <alignment horizontal="center" vertical="center"/>
    </xf>
    <xf numFmtId="41" fontId="4" fillId="3" borderId="16" xfId="0" applyNumberFormat="1" applyFont="1" applyFill="1" applyBorder="1" applyAlignment="1">
      <alignment horizontal="center" vertical="center"/>
    </xf>
    <xf numFmtId="41" fontId="4" fillId="3" borderId="18" xfId="0" applyNumberFormat="1" applyFont="1" applyFill="1" applyBorder="1" applyAlignment="1">
      <alignment horizontal="center" vertical="center"/>
    </xf>
    <xf numFmtId="41" fontId="4" fillId="3" borderId="17" xfId="0" applyNumberFormat="1" applyFont="1" applyFill="1" applyBorder="1" applyAlignment="1">
      <alignment horizontal="center" vertical="center"/>
    </xf>
    <xf numFmtId="41" fontId="4" fillId="3" borderId="31" xfId="0" applyNumberFormat="1" applyFont="1" applyFill="1" applyBorder="1" applyAlignment="1">
      <alignment horizontal="center" vertical="center"/>
    </xf>
    <xf numFmtId="41" fontId="4" fillId="3" borderId="32" xfId="0" applyNumberFormat="1" applyFont="1" applyFill="1" applyBorder="1" applyAlignment="1">
      <alignment horizontal="center" vertical="center"/>
    </xf>
    <xf numFmtId="41" fontId="8" fillId="0" borderId="0" xfId="0" applyNumberFormat="1" applyFont="1" applyAlignment="1">
      <alignment horizontal="center"/>
    </xf>
    <xf numFmtId="0" fontId="6" fillId="0" borderId="19" xfId="0" applyFont="1" applyBorder="1" applyAlignment="1">
      <alignment horizontal="center"/>
    </xf>
    <xf numFmtId="41" fontId="2" fillId="0" borderId="26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0" xfId="0" applyFont="1" applyAlignment="1">
      <alignment horizontal="center"/>
    </xf>
    <xf numFmtId="4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NPV Profile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'IRR-MIRR'!$I$41</c:f>
              <c:strCache>
                <c:ptCount val="1"/>
                <c:pt idx="0">
                  <c:v> 25.75 </c:v>
                </c:pt>
              </c:strCache>
            </c:strRef>
          </c:tx>
          <c:marker>
            <c:symbol val="none"/>
          </c:marker>
          <c:xVal>
            <c:numRef>
              <c:f>'IRR-MIRR'!$H$42:$H$57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'IRR-MIRR'!$I$42:$I$57</c:f>
              <c:numCache>
                <c:formatCode>_(* #,##0.00_);_(* \(#,##0.00\);_(* "-"??_);_(@_)</c:formatCode>
                <c:ptCount val="16"/>
                <c:pt idx="0">
                  <c:v>-50</c:v>
                </c:pt>
                <c:pt idx="1">
                  <c:v>-9.2830942618356858</c:v>
                </c:pt>
                <c:pt idx="2">
                  <c:v>15.030028167835098</c:v>
                </c:pt>
                <c:pt idx="3">
                  <c:v>27.759206514228026</c:v>
                </c:pt>
                <c:pt idx="4">
                  <c:v>32.300684869638644</c:v>
                </c:pt>
                <c:pt idx="5">
                  <c:v>31.061078566799779</c:v>
                </c:pt>
                <c:pt idx="6">
                  <c:v>25.75450611252154</c:v>
                </c:pt>
                <c:pt idx="7">
                  <c:v>17.607458430078623</c:v>
                </c:pt>
                <c:pt idx="8">
                  <c:v>7.501005125185884</c:v>
                </c:pt>
                <c:pt idx="9">
                  <c:v>-3.929857303151266</c:v>
                </c:pt>
                <c:pt idx="10">
                  <c:v>-16.226367879718623</c:v>
                </c:pt>
                <c:pt idx="11">
                  <c:v>-29.056615869377879</c:v>
                </c:pt>
                <c:pt idx="12">
                  <c:v>-42.180418834388547</c:v>
                </c:pt>
                <c:pt idx="13">
                  <c:v>-55.424208009106337</c:v>
                </c:pt>
                <c:pt idx="14">
                  <c:v>-68.66297582203913</c:v>
                </c:pt>
                <c:pt idx="15">
                  <c:v>-81.80723514087299</c:v>
                </c:pt>
              </c:numCache>
            </c:numRef>
          </c:yVal>
          <c:smooth val="1"/>
        </c:ser>
        <c:axId val="67112960"/>
        <c:axId val="67115264"/>
      </c:scatterChart>
      <c:valAx>
        <c:axId val="67112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Discount Rate</a:t>
                </a:r>
              </a:p>
            </c:rich>
          </c:tx>
        </c:title>
        <c:numFmt formatCode="0%" sourceLinked="1"/>
        <c:majorTickMark val="none"/>
        <c:tickLblPos val="nextTo"/>
        <c:crossAx val="67115264"/>
        <c:crosses val="autoZero"/>
        <c:crossBetween val="midCat"/>
      </c:valAx>
      <c:valAx>
        <c:axId val="671152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NPV</a:t>
                </a:r>
              </a:p>
            </c:rich>
          </c:tx>
        </c:title>
        <c:numFmt formatCode="_(* #,##0.00_);_(* \(#,##0.00\);_(* &quot;-&quot;??_);_(@_)" sourceLinked="1"/>
        <c:majorTickMark val="none"/>
        <c:tickLblPos val="nextTo"/>
        <c:crossAx val="67112960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NPV Profile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Proj A</c:v>
          </c:tx>
          <c:marker>
            <c:symbol val="none"/>
          </c:marker>
          <c:xVal>
            <c:numRef>
              <c:f>'IRR-MIRR'!$H$65:$H$80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'IRR-MIRR'!$I$65:$I$80</c:f>
              <c:numCache>
                <c:formatCode>_(* #,##0.00_);_(* \(#,##0.00\);_(* "-"??_);_(@_)</c:formatCode>
                <c:ptCount val="16"/>
                <c:pt idx="0">
                  <c:v>560</c:v>
                </c:pt>
                <c:pt idx="1">
                  <c:v>470.76643674407478</c:v>
                </c:pt>
                <c:pt idx="2">
                  <c:v>387.1129278292342</c:v>
                </c:pt>
                <c:pt idx="3">
                  <c:v>308.55455441266577</c:v>
                </c:pt>
                <c:pt idx="4">
                  <c:v>234.65923223281015</c:v>
                </c:pt>
                <c:pt idx="5">
                  <c:v>165.04088766912309</c:v>
                </c:pt>
                <c:pt idx="6">
                  <c:v>99.353642525249597</c:v>
                </c:pt>
                <c:pt idx="7">
                  <c:v>37.286840899745812</c:v>
                </c:pt>
                <c:pt idx="8">
                  <c:v>-21.439218251498232</c:v>
                </c:pt>
                <c:pt idx="9">
                  <c:v>-77.076954968626524</c:v>
                </c:pt>
                <c:pt idx="10">
                  <c:v>-129.85468106995836</c:v>
                </c:pt>
                <c:pt idx="11">
                  <c:v>-179.97934850060392</c:v>
                </c:pt>
                <c:pt idx="12">
                  <c:v>-227.63893697022309</c:v>
                </c:pt>
                <c:pt idx="13">
                  <c:v>-273.0045340541235</c:v>
                </c:pt>
                <c:pt idx="14">
                  <c:v>-316.23215228319168</c:v>
                </c:pt>
                <c:pt idx="15">
                  <c:v>-357.4643206308765</c:v>
                </c:pt>
              </c:numCache>
            </c:numRef>
          </c:yVal>
          <c:smooth val="1"/>
        </c:ser>
        <c:ser>
          <c:idx val="1"/>
          <c:order val="1"/>
          <c:tx>
            <c:v>Proj B</c:v>
          </c:tx>
          <c:marker>
            <c:symbol val="none"/>
          </c:marker>
          <c:xVal>
            <c:numRef>
              <c:f>'IRR-MIRR'!$H$65:$H$80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'IRR-MIRR'!$J$65:$J$80</c:f>
              <c:numCache>
                <c:formatCode>_(* #,##0.00_);_(* \(#,##0.00\);_(* "-"??_);_(@_)</c:formatCode>
                <c:ptCount val="16"/>
                <c:pt idx="0">
                  <c:v>2700</c:v>
                </c:pt>
                <c:pt idx="1">
                  <c:v>2116.223583029192</c:v>
                </c:pt>
                <c:pt idx="2">
                  <c:v>1612.0056966346301</c:v>
                </c:pt>
                <c:pt idx="3">
                  <c:v>1175.2147611455002</c:v>
                </c:pt>
                <c:pt idx="4">
                  <c:v>795.76087656511527</c:v>
                </c:pt>
                <c:pt idx="5">
                  <c:v>465.22137564246623</c:v>
                </c:pt>
                <c:pt idx="6">
                  <c:v>176.54045701654013</c:v>
                </c:pt>
                <c:pt idx="7">
                  <c:v>-76.212782159823291</c:v>
                </c:pt>
                <c:pt idx="8">
                  <c:v>-298.04006726805505</c:v>
                </c:pt>
                <c:pt idx="9">
                  <c:v>-493.17288527234791</c:v>
                </c:pt>
                <c:pt idx="10">
                  <c:v>-665.20204618198431</c:v>
                </c:pt>
                <c:pt idx="11">
                  <c:v>-817.18368556081828</c:v>
                </c:pt>
                <c:pt idx="12">
                  <c:v>-951.72630021118266</c:v>
                </c:pt>
                <c:pt idx="13">
                  <c:v>-1071.0624562332694</c:v>
                </c:pt>
                <c:pt idx="14">
                  <c:v>-1177.1080650505612</c:v>
                </c:pt>
                <c:pt idx="15">
                  <c:v>-1271.5115402647689</c:v>
                </c:pt>
              </c:numCache>
            </c:numRef>
          </c:yVal>
          <c:smooth val="1"/>
        </c:ser>
        <c:axId val="67136128"/>
        <c:axId val="67150592"/>
      </c:scatterChart>
      <c:valAx>
        <c:axId val="67136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Discount Rate</a:t>
                </a:r>
              </a:p>
            </c:rich>
          </c:tx>
        </c:title>
        <c:numFmt formatCode="0%" sourceLinked="1"/>
        <c:majorTickMark val="none"/>
        <c:tickLblPos val="nextTo"/>
        <c:crossAx val="67150592"/>
        <c:crosses val="autoZero"/>
        <c:crossBetween val="midCat"/>
      </c:valAx>
      <c:valAx>
        <c:axId val="671505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NPV</a:t>
                </a:r>
              </a:p>
            </c:rich>
          </c:tx>
        </c:title>
        <c:numFmt formatCode="_(&quot;$&quot;* #,##0_);_(&quot;$&quot;* \(#,##0\);_(&quot;$&quot;* &quot;-&quot;_);_(@_)" sourceLinked="0"/>
        <c:majorTickMark val="none"/>
        <c:tickLblPos val="nextTo"/>
        <c:crossAx val="6713612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15</xdr:row>
      <xdr:rowOff>19050</xdr:rowOff>
    </xdr:from>
    <xdr:to>
      <xdr:col>11</xdr:col>
      <xdr:colOff>558800</xdr:colOff>
      <xdr:row>21</xdr:row>
      <xdr:rowOff>38100</xdr:rowOff>
    </xdr:to>
    <xdr:sp macro="" textlink="">
      <xdr:nvSpPr>
        <xdr:cNvPr id="2" name="Rectangle 1"/>
        <xdr:cNvSpPr/>
      </xdr:nvSpPr>
      <xdr:spPr>
        <a:xfrm>
          <a:off x="4248150" y="2781300"/>
          <a:ext cx="2330450" cy="11239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Use the Data Table function to fill</a:t>
          </a:r>
          <a:r>
            <a:rPr lang="en-US" sz="1100" baseline="0"/>
            <a:t> in the NPV's for the range of discount rates. Then use that table to create an NPV profile graph. </a:t>
          </a:r>
          <a:endParaRPr lang="en-US" sz="1100"/>
        </a:p>
      </xdr:txBody>
    </xdr:sp>
    <xdr:clientData/>
  </xdr:twoCellAnchor>
  <xdr:twoCellAnchor>
    <xdr:from>
      <xdr:col>10</xdr:col>
      <xdr:colOff>133350</xdr:colOff>
      <xdr:row>40</xdr:row>
      <xdr:rowOff>38100</xdr:rowOff>
    </xdr:from>
    <xdr:to>
      <xdr:col>17</xdr:col>
      <xdr:colOff>438150</xdr:colOff>
      <xdr:row>55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279400</xdr:colOff>
      <xdr:row>60</xdr:row>
      <xdr:rowOff>152400</xdr:rowOff>
    </xdr:from>
    <xdr:to>
      <xdr:col>19</xdr:col>
      <xdr:colOff>25400</xdr:colOff>
      <xdr:row>81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0.35664</cdr:x>
      <cdr:y>0.56086</cdr:y>
    </cdr:from>
    <cdr:to>
      <cdr:x>0.35695</cdr:x>
      <cdr:y>0.65266</cdr:y>
    </cdr:to>
    <cdr:sp macro="" textlink="">
      <cdr:nvSpPr>
        <cdr:cNvPr id="3" name="Straight Connector 2"/>
        <cdr:cNvSpPr/>
      </cdr:nvSpPr>
      <cdr:spPr>
        <a:xfrm xmlns:a="http://schemas.openxmlformats.org/drawingml/2006/main" rot="5400000" flipH="1" flipV="1">
          <a:off x="1866106" y="2172494"/>
          <a:ext cx="1589" cy="355600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1"/>
  <sheetViews>
    <sheetView tabSelected="1" topLeftCell="A16" zoomScale="130" zoomScaleNormal="130" workbookViewId="0">
      <selection activeCell="G29" sqref="G29"/>
    </sheetView>
    <sheetView tabSelected="1" topLeftCell="A11" workbookViewId="1">
      <selection activeCell="F12" sqref="F12"/>
    </sheetView>
  </sheetViews>
  <sheetFormatPr defaultColWidth="8.7109375" defaultRowHeight="15"/>
  <cols>
    <col min="1" max="1" width="4.7109375" style="1" customWidth="1"/>
    <col min="2" max="2" width="7.42578125" style="1" customWidth="1"/>
    <col min="3" max="3" width="11.42578125" style="1" customWidth="1"/>
    <col min="4" max="4" width="3.140625" style="23" customWidth="1"/>
    <col min="5" max="5" width="17.42578125" style="23" customWidth="1"/>
    <col min="6" max="7" width="11.140625" style="1" customWidth="1"/>
    <col min="8" max="8" width="4.140625" style="1" customWidth="1"/>
    <col min="9" max="9" width="21.140625" style="1" customWidth="1"/>
    <col min="10" max="16384" width="8.7109375" style="1"/>
  </cols>
  <sheetData>
    <row r="1" spans="2:15" ht="8.4499999999999993" customHeight="1" thickBot="1"/>
    <row r="2" spans="2:15" ht="26.45" customHeight="1" thickBot="1">
      <c r="B2" s="100" t="s">
        <v>22</v>
      </c>
      <c r="C2" s="101"/>
      <c r="D2" s="101"/>
      <c r="E2" s="101"/>
      <c r="F2" s="101"/>
      <c r="G2" s="101"/>
      <c r="H2" s="101"/>
      <c r="I2" s="101"/>
      <c r="J2" s="102"/>
    </row>
    <row r="3" spans="2:15" ht="6.95" customHeight="1" thickBot="1"/>
    <row r="4" spans="2:15" ht="20.45" customHeight="1" thickBot="1">
      <c r="B4" s="103" t="s">
        <v>21</v>
      </c>
      <c r="C4" s="105"/>
      <c r="D4" s="105"/>
      <c r="E4" s="105"/>
      <c r="F4" s="106" t="s">
        <v>1</v>
      </c>
      <c r="G4" s="107" t="s">
        <v>2</v>
      </c>
      <c r="I4" s="103" t="s">
        <v>23</v>
      </c>
      <c r="J4" s="104"/>
    </row>
    <row r="5" spans="2:15">
      <c r="B5" s="5" t="s">
        <v>0</v>
      </c>
      <c r="C5" s="12"/>
      <c r="D5" s="51"/>
      <c r="E5" s="51"/>
      <c r="F5" s="5">
        <v>50000</v>
      </c>
      <c r="G5" s="6">
        <v>100000</v>
      </c>
      <c r="I5" s="16" t="s">
        <v>10</v>
      </c>
      <c r="J5" s="18">
        <v>0.34</v>
      </c>
    </row>
    <row r="6" spans="2:15" ht="15.75" thickBot="1">
      <c r="B6" s="70" t="s">
        <v>141</v>
      </c>
      <c r="C6" s="13"/>
      <c r="D6" s="52"/>
      <c r="E6" s="52"/>
      <c r="F6" s="15"/>
      <c r="G6" s="8">
        <v>8</v>
      </c>
      <c r="I6" s="17" t="s">
        <v>11</v>
      </c>
      <c r="J6" s="19">
        <v>0.12</v>
      </c>
    </row>
    <row r="7" spans="2:15">
      <c r="B7" s="7" t="s">
        <v>3</v>
      </c>
      <c r="C7" s="13"/>
      <c r="D7" s="52"/>
      <c r="E7" s="52"/>
      <c r="F7" s="70">
        <v>2</v>
      </c>
      <c r="G7" s="9"/>
    </row>
    <row r="8" spans="2:15">
      <c r="B8" s="70" t="s">
        <v>142</v>
      </c>
      <c r="C8" s="13"/>
      <c r="D8" s="52"/>
      <c r="E8" s="52"/>
      <c r="F8" s="15"/>
      <c r="G8" s="8">
        <v>10000</v>
      </c>
    </row>
    <row r="9" spans="2:15">
      <c r="B9" s="7" t="s">
        <v>5</v>
      </c>
      <c r="C9" s="13"/>
      <c r="D9" s="52"/>
      <c r="E9" s="52"/>
      <c r="F9" s="70">
        <v>8000</v>
      </c>
      <c r="G9" s="8">
        <v>3000</v>
      </c>
      <c r="L9" s="69" t="s">
        <v>143</v>
      </c>
      <c r="M9" s="69" t="s">
        <v>26</v>
      </c>
    </row>
    <row r="10" spans="2:15">
      <c r="B10" s="7" t="s">
        <v>6</v>
      </c>
      <c r="C10" s="13"/>
      <c r="D10" s="52"/>
      <c r="E10" s="52"/>
      <c r="F10" s="70">
        <v>35000</v>
      </c>
      <c r="G10" s="8">
        <v>55000</v>
      </c>
      <c r="L10" s="69" t="s">
        <v>25</v>
      </c>
      <c r="M10" s="69" t="s">
        <v>144</v>
      </c>
    </row>
    <row r="11" spans="2:15">
      <c r="B11" s="7" t="s">
        <v>7</v>
      </c>
      <c r="C11" s="13"/>
      <c r="D11" s="52"/>
      <c r="E11" s="52"/>
      <c r="F11" s="70">
        <v>18000</v>
      </c>
      <c r="G11" s="8">
        <v>20000</v>
      </c>
      <c r="M11" s="69" t="s">
        <v>145</v>
      </c>
    </row>
    <row r="12" spans="2:15">
      <c r="B12" s="7" t="s">
        <v>8</v>
      </c>
      <c r="C12" s="13"/>
      <c r="D12" s="52"/>
      <c r="E12" s="52"/>
      <c r="F12" s="20" t="s">
        <v>25</v>
      </c>
      <c r="G12" s="91" t="s">
        <v>25</v>
      </c>
      <c r="M12" s="69" t="s">
        <v>146</v>
      </c>
      <c r="N12" s="69"/>
    </row>
    <row r="13" spans="2:15">
      <c r="B13" s="7" t="s">
        <v>9</v>
      </c>
      <c r="C13" s="13"/>
      <c r="D13" s="52"/>
      <c r="E13" s="52"/>
      <c r="F13" s="20" t="s">
        <v>144</v>
      </c>
      <c r="G13" s="91" t="s">
        <v>144</v>
      </c>
      <c r="L13" s="69"/>
      <c r="N13" s="69"/>
    </row>
    <row r="14" spans="2:15">
      <c r="B14" s="7" t="s">
        <v>12</v>
      </c>
      <c r="C14" s="13"/>
      <c r="D14" s="52"/>
      <c r="E14" s="52"/>
      <c r="F14" s="70">
        <v>30000</v>
      </c>
      <c r="G14" s="9"/>
      <c r="J14" s="69"/>
      <c r="K14" s="69"/>
      <c r="L14" s="69"/>
      <c r="M14" s="69"/>
      <c r="N14" s="69"/>
      <c r="O14" s="69"/>
    </row>
    <row r="15" spans="2:15" ht="15.75" thickBot="1">
      <c r="B15" s="10" t="str">
        <f>"Expected Salvage Value at t="&amp;G6</f>
        <v>Expected Salvage Value at t=8</v>
      </c>
      <c r="C15" s="14"/>
      <c r="D15" s="53"/>
      <c r="E15" s="53"/>
      <c r="F15" s="10">
        <v>5000</v>
      </c>
      <c r="G15" s="11">
        <v>30000</v>
      </c>
      <c r="N15" s="69"/>
    </row>
    <row r="16" spans="2:15" ht="15.75" thickBot="1">
      <c r="N16" s="69"/>
    </row>
    <row r="17" spans="2:10" ht="26.45" customHeight="1" thickBot="1">
      <c r="B17" s="100" t="s">
        <v>68</v>
      </c>
      <c r="C17" s="101"/>
      <c r="D17" s="101"/>
      <c r="E17" s="101"/>
      <c r="F17" s="101"/>
      <c r="G17" s="101"/>
      <c r="H17" s="101"/>
      <c r="I17" s="101"/>
      <c r="J17" s="102"/>
    </row>
    <row r="18" spans="2:10" ht="15.75" thickBot="1">
      <c r="B18" s="55"/>
      <c r="C18" s="55"/>
      <c r="D18" s="42"/>
      <c r="E18" s="55"/>
      <c r="F18" s="55"/>
    </row>
    <row r="19" spans="2:10" ht="20.100000000000001" customHeight="1">
      <c r="B19" s="108" t="s">
        <v>70</v>
      </c>
      <c r="C19" s="108"/>
      <c r="D19" s="54"/>
      <c r="E19" s="108" t="s">
        <v>79</v>
      </c>
      <c r="F19" s="108"/>
    </row>
    <row r="20" spans="2:10" ht="17.25">
      <c r="B20" s="54" t="s">
        <v>72</v>
      </c>
      <c r="C20" s="54" t="s">
        <v>71</v>
      </c>
      <c r="D20" s="54"/>
      <c r="E20" s="23" t="s">
        <v>73</v>
      </c>
      <c r="F20" s="99">
        <f>NPV(J6,C22:C31)+C21</f>
        <v>5223.7381306296447</v>
      </c>
    </row>
    <row r="21" spans="2:10">
      <c r="B21" s="98">
        <v>0</v>
      </c>
      <c r="C21" s="99">
        <f>'CF Detail'!D8</f>
        <v>-77040</v>
      </c>
      <c r="E21" s="23" t="s">
        <v>74</v>
      </c>
      <c r="F21" s="72">
        <f>IRR(C21:C31)</f>
        <v>0.13928941487115756</v>
      </c>
    </row>
    <row r="22" spans="2:10">
      <c r="B22" s="98">
        <v>1</v>
      </c>
      <c r="C22" s="99">
        <f>'CF Detail'!D24</f>
        <v>15416</v>
      </c>
      <c r="E22" s="23" t="s">
        <v>75</v>
      </c>
    </row>
    <row r="23" spans="2:10">
      <c r="B23" s="98">
        <v>2</v>
      </c>
      <c r="C23" s="99">
        <f>'CF Detail'!E24</f>
        <v>20801.599999999999</v>
      </c>
      <c r="E23" s="23" t="s">
        <v>76</v>
      </c>
    </row>
    <row r="24" spans="2:10">
      <c r="B24" s="98">
        <v>3</v>
      </c>
      <c r="C24" s="99">
        <f>'CF Detail'!F24</f>
        <v>16449.599999999999</v>
      </c>
      <c r="E24" s="23" t="s">
        <v>77</v>
      </c>
    </row>
    <row r="25" spans="2:10">
      <c r="B25" s="98">
        <v>4</v>
      </c>
      <c r="C25" s="99">
        <f>'CF Detail'!G24</f>
        <v>14817.6</v>
      </c>
      <c r="E25" s="23" t="s">
        <v>78</v>
      </c>
    </row>
    <row r="26" spans="2:10">
      <c r="B26" s="98">
        <v>5</v>
      </c>
      <c r="C26" s="99">
        <f>'CF Detail'!H24</f>
        <v>15796.8</v>
      </c>
      <c r="E26" s="1"/>
    </row>
    <row r="27" spans="2:10">
      <c r="B27" s="98">
        <v>6</v>
      </c>
      <c r="C27" s="99">
        <f>'CF Detail'!I24</f>
        <v>13838.4</v>
      </c>
      <c r="E27" s="1"/>
    </row>
    <row r="28" spans="2:10">
      <c r="B28" s="98">
        <v>7</v>
      </c>
      <c r="C28" s="99">
        <f>'CF Detail'!J24</f>
        <v>11880</v>
      </c>
      <c r="E28" s="1"/>
    </row>
    <row r="29" spans="2:10">
      <c r="B29" s="98">
        <v>8</v>
      </c>
      <c r="C29" s="99">
        <f>'CF Detail'!K24</f>
        <v>23380</v>
      </c>
    </row>
    <row r="30" spans="2:10">
      <c r="B30" s="98">
        <v>9</v>
      </c>
      <c r="C30" s="99" t="str">
        <f>'CF Detail'!L24</f>
        <v/>
      </c>
    </row>
    <row r="31" spans="2:10">
      <c r="B31" s="98">
        <v>10</v>
      </c>
      <c r="C31" s="99" t="str">
        <f>'CF Detail'!M24</f>
        <v/>
      </c>
    </row>
  </sheetData>
  <mergeCells count="6">
    <mergeCell ref="B2:J2"/>
    <mergeCell ref="I4:J4"/>
    <mergeCell ref="B4:G4"/>
    <mergeCell ref="B17:J17"/>
    <mergeCell ref="B19:C19"/>
    <mergeCell ref="E19:F19"/>
  </mergeCells>
  <dataValidations count="6">
    <dataValidation type="whole" allowBlank="1" showInputMessage="1" showErrorMessage="1" error="This input must be less than the original cost." sqref="F14">
      <formula1>0</formula1>
      <formula2>F5</formula2>
    </dataValidation>
    <dataValidation type="whole" allowBlank="1" showInputMessage="1" showErrorMessage="1" error="This input must be less than the original cost and positive." sqref="F15:G15">
      <formula1>0</formula1>
      <formula2>F5</formula2>
    </dataValidation>
    <dataValidation type="whole" allowBlank="1" showInputMessage="1" showErrorMessage="1" error="Your input must be between 1 and 10" prompt="Input a whole number between 1 and 10" sqref="G6">
      <formula1>1</formula1>
      <formula2>10</formula2>
    </dataValidation>
    <dataValidation type="whole" allowBlank="1" showInputMessage="1" showErrorMessage="1" sqref="K13:L13">
      <formula1>1</formula1>
      <formula2>10</formula2>
    </dataValidation>
    <dataValidation type="list" allowBlank="1" showInputMessage="1" showErrorMessage="1" sqref="F12:G12">
      <formula1>$L$9:$L$10</formula1>
    </dataValidation>
    <dataValidation type="list" allowBlank="1" showInputMessage="1" showErrorMessage="1" sqref="F13:G13">
      <formula1>$M$9:$M$12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25"/>
  <sheetViews>
    <sheetView topLeftCell="A21" zoomScale="130" zoomScaleNormal="130" workbookViewId="0">
      <selection activeCell="G28" sqref="G28"/>
    </sheetView>
    <sheetView workbookViewId="1"/>
  </sheetViews>
  <sheetFormatPr defaultColWidth="8.7109375" defaultRowHeight="15"/>
  <cols>
    <col min="1" max="1" width="2.28515625" style="1" customWidth="1"/>
    <col min="2" max="2" width="4.7109375" style="1" customWidth="1"/>
    <col min="3" max="3" width="26.5703125" style="1" customWidth="1"/>
    <col min="4" max="4" width="10.85546875" style="1" customWidth="1"/>
    <col min="5" max="13" width="8.85546875" style="1" customWidth="1"/>
    <col min="14" max="15" width="8.28515625" style="1" customWidth="1"/>
    <col min="16" max="16384" width="8.7109375" style="1"/>
  </cols>
  <sheetData>
    <row r="1" spans="2:13" ht="15.75" thickBot="1"/>
    <row r="2" spans="2:13" ht="19.5" customHeight="1" thickBot="1">
      <c r="B2" s="103" t="s">
        <v>24</v>
      </c>
      <c r="C2" s="105"/>
      <c r="D2" s="105"/>
    </row>
    <row r="3" spans="2:13">
      <c r="B3" s="2" t="s">
        <v>14</v>
      </c>
      <c r="C3" s="1" t="s">
        <v>13</v>
      </c>
      <c r="D3" s="1">
        <f>-'Inputs-Outputs'!G5</f>
        <v>-100000</v>
      </c>
    </row>
    <row r="4" spans="2:13">
      <c r="B4" s="2" t="s">
        <v>14</v>
      </c>
      <c r="C4" s="1" t="s">
        <v>4</v>
      </c>
      <c r="D4" s="1">
        <f>-'Inputs-Outputs'!G8</f>
        <v>-10000</v>
      </c>
    </row>
    <row r="5" spans="2:13">
      <c r="B5" s="2" t="s">
        <v>15</v>
      </c>
      <c r="C5" s="1" t="s">
        <v>16</v>
      </c>
      <c r="D5" s="1">
        <f>+'Inputs-Outputs'!F14</f>
        <v>30000</v>
      </c>
    </row>
    <row r="6" spans="2:13">
      <c r="B6" s="2" t="s">
        <v>17</v>
      </c>
      <c r="C6" s="1" t="s">
        <v>18</v>
      </c>
      <c r="D6" s="1">
        <f>'Depn-ATSV'!D48</f>
        <v>-2040.0000000000002</v>
      </c>
    </row>
    <row r="7" spans="2:13" ht="17.25">
      <c r="B7" s="2" t="s">
        <v>17</v>
      </c>
      <c r="C7" s="3" t="s">
        <v>19</v>
      </c>
      <c r="D7" s="3">
        <f>'Inputs-Outputs'!F9-'Inputs-Outputs'!G9</f>
        <v>5000</v>
      </c>
    </row>
    <row r="8" spans="2:13">
      <c r="C8" s="1" t="s">
        <v>20</v>
      </c>
      <c r="D8" s="1">
        <f>SUM(D3:D7)</f>
        <v>-77040</v>
      </c>
    </row>
    <row r="9" spans="2:13" ht="6.6" customHeight="1" thickBot="1"/>
    <row r="10" spans="2:13" s="23" customFormat="1" ht="21.95" customHeight="1" thickBot="1">
      <c r="B10" s="103" t="s">
        <v>69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</row>
    <row r="11" spans="2:13" ht="8.1" customHeight="1"/>
    <row r="12" spans="2:13" s="4" customFormat="1">
      <c r="D12" s="39">
        <v>1</v>
      </c>
      <c r="E12" s="39">
        <v>2</v>
      </c>
      <c r="F12" s="39">
        <v>3</v>
      </c>
      <c r="G12" s="39">
        <v>4</v>
      </c>
      <c r="H12" s="39">
        <v>5</v>
      </c>
      <c r="I12" s="39">
        <v>6</v>
      </c>
      <c r="J12" s="39">
        <v>7</v>
      </c>
      <c r="K12" s="39">
        <v>8</v>
      </c>
      <c r="L12" s="39">
        <v>9</v>
      </c>
      <c r="M12" s="39">
        <v>10</v>
      </c>
    </row>
    <row r="13" spans="2:13">
      <c r="C13" s="23" t="s">
        <v>46</v>
      </c>
      <c r="D13" s="1">
        <f>'Inputs-Outputs'!G10-'Inputs-Outputs'!F10</f>
        <v>20000</v>
      </c>
      <c r="E13" s="1">
        <f>IF(E$12&gt;Life,"",D13)</f>
        <v>20000</v>
      </c>
      <c r="F13" s="69">
        <f t="shared" ref="F13:M13" si="0">IF(F12&gt;Life,"",E13)</f>
        <v>20000</v>
      </c>
      <c r="G13" s="69">
        <f t="shared" si="0"/>
        <v>20000</v>
      </c>
      <c r="H13" s="69">
        <f t="shared" si="0"/>
        <v>20000</v>
      </c>
      <c r="I13" s="69">
        <f t="shared" si="0"/>
        <v>20000</v>
      </c>
      <c r="J13" s="69">
        <f t="shared" si="0"/>
        <v>20000</v>
      </c>
      <c r="K13" s="69">
        <f t="shared" si="0"/>
        <v>20000</v>
      </c>
      <c r="L13" s="69" t="str">
        <f t="shared" si="0"/>
        <v/>
      </c>
      <c r="M13" s="69" t="str">
        <f t="shared" si="0"/>
        <v/>
      </c>
    </row>
    <row r="14" spans="2:13">
      <c r="B14" s="2" t="s">
        <v>14</v>
      </c>
      <c r="C14" s="23" t="s">
        <v>47</v>
      </c>
      <c r="D14" s="1">
        <f>'Inputs-Outputs'!F11-'Inputs-Outputs'!G11</f>
        <v>-2000</v>
      </c>
      <c r="E14" s="69">
        <f>IF(E$12&gt;Life,"",D14)</f>
        <v>-2000</v>
      </c>
      <c r="F14" s="69">
        <f t="shared" ref="F14:M14" si="1">IF(F$12&gt;Life,"",E14)</f>
        <v>-2000</v>
      </c>
      <c r="G14" s="69">
        <f t="shared" si="1"/>
        <v>-2000</v>
      </c>
      <c r="H14" s="69">
        <f t="shared" si="1"/>
        <v>-2000</v>
      </c>
      <c r="I14" s="69">
        <f t="shared" si="1"/>
        <v>-2000</v>
      </c>
      <c r="J14" s="69">
        <f t="shared" si="1"/>
        <v>-2000</v>
      </c>
      <c r="K14" s="69">
        <f t="shared" si="1"/>
        <v>-2000</v>
      </c>
      <c r="L14" s="69" t="str">
        <f t="shared" si="1"/>
        <v/>
      </c>
      <c r="M14" s="69" t="str">
        <f t="shared" si="1"/>
        <v/>
      </c>
    </row>
    <row r="15" spans="2:13" ht="17.25">
      <c r="B15" s="2" t="s">
        <v>14</v>
      </c>
      <c r="C15" s="24" t="s">
        <v>48</v>
      </c>
      <c r="D15" s="24">
        <f>IF(D12&gt;Life,"",-'Depn-ATSV'!C36)</f>
        <v>-10400</v>
      </c>
      <c r="E15" s="24">
        <f>IF(E12&gt;Life,"",-'Depn-ATSV'!D36)</f>
        <v>-26240</v>
      </c>
      <c r="F15" s="24">
        <f>IF(F12&gt;Life,"",-'Depn-ATSV'!E36)</f>
        <v>-13440</v>
      </c>
      <c r="G15" s="24">
        <f>IF(G12&gt;Life,"",-'Depn-ATSV'!F36)</f>
        <v>-8640</v>
      </c>
      <c r="H15" s="24">
        <f>IF(H12&gt;Life,"",-'Depn-ATSV'!G36)</f>
        <v>-11520</v>
      </c>
      <c r="I15" s="24">
        <f>IF(I12&gt;Life,"",-'Depn-ATSV'!H36)</f>
        <v>-5760</v>
      </c>
      <c r="J15" s="24">
        <f>IF(J12&gt;Life,"",-'Depn-ATSV'!I36)</f>
        <v>0</v>
      </c>
      <c r="K15" s="24">
        <f>IF(K12&gt;Life,"",-'Depn-ATSV'!J36)</f>
        <v>0</v>
      </c>
      <c r="L15" s="24" t="str">
        <f>IF(L12&gt;Life,"",-'Depn-ATSV'!K36)</f>
        <v/>
      </c>
      <c r="M15" s="24" t="str">
        <f>IF(M12&gt;Life,"",-'Depn-ATSV'!L36)</f>
        <v/>
      </c>
    </row>
    <row r="16" spans="2:13">
      <c r="C16" s="23" t="s">
        <v>49</v>
      </c>
      <c r="D16" s="23">
        <f t="shared" ref="D16:M16" si="2">IF(D12&gt;Life,"",SUM(D13:D15))</f>
        <v>7600</v>
      </c>
      <c r="E16" s="69">
        <f t="shared" si="2"/>
        <v>-8240</v>
      </c>
      <c r="F16" s="69">
        <f t="shared" si="2"/>
        <v>4560</v>
      </c>
      <c r="G16" s="69">
        <f t="shared" si="2"/>
        <v>9360</v>
      </c>
      <c r="H16" s="69">
        <f t="shared" si="2"/>
        <v>6480</v>
      </c>
      <c r="I16" s="69">
        <f t="shared" si="2"/>
        <v>12240</v>
      </c>
      <c r="J16" s="69">
        <f t="shared" si="2"/>
        <v>18000</v>
      </c>
      <c r="K16" s="69">
        <f t="shared" si="2"/>
        <v>18000</v>
      </c>
      <c r="L16" s="69" t="str">
        <f t="shared" si="2"/>
        <v/>
      </c>
      <c r="M16" s="69" t="str">
        <f t="shared" si="2"/>
        <v/>
      </c>
    </row>
    <row r="17" spans="2:13" ht="17.25">
      <c r="B17" s="2" t="s">
        <v>14</v>
      </c>
      <c r="C17" s="24" t="s">
        <v>50</v>
      </c>
      <c r="D17" s="24">
        <f t="shared" ref="D17:M17" si="3">IF(D12&gt;Life,"",-TaxRate*D16)</f>
        <v>-2584</v>
      </c>
      <c r="E17" s="24">
        <f t="shared" si="3"/>
        <v>2801.6000000000004</v>
      </c>
      <c r="F17" s="24">
        <f t="shared" si="3"/>
        <v>-1550.4</v>
      </c>
      <c r="G17" s="24">
        <f t="shared" si="3"/>
        <v>-3182.4</v>
      </c>
      <c r="H17" s="24">
        <f t="shared" si="3"/>
        <v>-2203.2000000000003</v>
      </c>
      <c r="I17" s="24">
        <f t="shared" si="3"/>
        <v>-4161.6000000000004</v>
      </c>
      <c r="J17" s="24">
        <f t="shared" si="3"/>
        <v>-6120</v>
      </c>
      <c r="K17" s="24">
        <f t="shared" si="3"/>
        <v>-6120</v>
      </c>
      <c r="L17" s="24" t="str">
        <f t="shared" si="3"/>
        <v/>
      </c>
      <c r="M17" s="24" t="str">
        <f t="shared" si="3"/>
        <v/>
      </c>
    </row>
    <row r="18" spans="2:13">
      <c r="C18" s="23" t="s">
        <v>51</v>
      </c>
      <c r="D18" s="23">
        <f t="shared" ref="D18:M18" si="4">IF(D12&gt;Life,"",SUM(D16:D17))</f>
        <v>5016</v>
      </c>
      <c r="E18" s="69">
        <f t="shared" si="4"/>
        <v>-5438.4</v>
      </c>
      <c r="F18" s="69">
        <f t="shared" si="4"/>
        <v>3009.6</v>
      </c>
      <c r="G18" s="69">
        <f t="shared" si="4"/>
        <v>6177.6</v>
      </c>
      <c r="H18" s="69">
        <f t="shared" si="4"/>
        <v>4276.7999999999993</v>
      </c>
      <c r="I18" s="69">
        <f t="shared" si="4"/>
        <v>8078.4</v>
      </c>
      <c r="J18" s="69">
        <f t="shared" si="4"/>
        <v>11880</v>
      </c>
      <c r="K18" s="69">
        <f t="shared" si="4"/>
        <v>11880</v>
      </c>
      <c r="L18" s="69" t="str">
        <f t="shared" si="4"/>
        <v/>
      </c>
      <c r="M18" s="69" t="str">
        <f t="shared" si="4"/>
        <v/>
      </c>
    </row>
    <row r="19" spans="2:13" ht="17.25">
      <c r="C19" s="24" t="s">
        <v>52</v>
      </c>
      <c r="D19" s="24">
        <f t="shared" ref="D19:M19" si="5">IF(D12&gt;Life,"",-D15)</f>
        <v>10400</v>
      </c>
      <c r="E19" s="24">
        <f t="shared" si="5"/>
        <v>26240</v>
      </c>
      <c r="F19" s="24">
        <f t="shared" si="5"/>
        <v>13440</v>
      </c>
      <c r="G19" s="24">
        <f t="shared" si="5"/>
        <v>8640</v>
      </c>
      <c r="H19" s="24">
        <f t="shared" si="5"/>
        <v>11520</v>
      </c>
      <c r="I19" s="24">
        <f t="shared" si="5"/>
        <v>5760</v>
      </c>
      <c r="J19" s="24">
        <f t="shared" si="5"/>
        <v>0</v>
      </c>
      <c r="K19" s="24">
        <f t="shared" si="5"/>
        <v>0</v>
      </c>
      <c r="L19" s="24" t="str">
        <f t="shared" si="5"/>
        <v/>
      </c>
      <c r="M19" s="24" t="str">
        <f t="shared" si="5"/>
        <v/>
      </c>
    </row>
    <row r="20" spans="2:13">
      <c r="C20" s="23" t="s">
        <v>58</v>
      </c>
      <c r="D20" s="96">
        <f>IF(D12&gt;Life,"",SUM(D18:D19))</f>
        <v>15416</v>
      </c>
      <c r="E20" s="69">
        <f t="shared" ref="E20:M20" si="6">IF(E12&gt;Life,"",SUM(E18:E19))</f>
        <v>20801.599999999999</v>
      </c>
      <c r="F20" s="69">
        <f t="shared" si="6"/>
        <v>16449.599999999999</v>
      </c>
      <c r="G20" s="69">
        <f t="shared" si="6"/>
        <v>14817.6</v>
      </c>
      <c r="H20" s="69">
        <f t="shared" si="6"/>
        <v>15796.8</v>
      </c>
      <c r="I20" s="69">
        <f t="shared" si="6"/>
        <v>13838.4</v>
      </c>
      <c r="J20" s="69">
        <f t="shared" si="6"/>
        <v>11880</v>
      </c>
      <c r="K20" s="69">
        <f t="shared" si="6"/>
        <v>11880</v>
      </c>
      <c r="L20" s="69" t="str">
        <f t="shared" si="6"/>
        <v/>
      </c>
      <c r="M20" s="69" t="str">
        <f t="shared" si="6"/>
        <v/>
      </c>
    </row>
    <row r="21" spans="2:13" ht="6.6" customHeight="1"/>
    <row r="22" spans="2:13">
      <c r="C22" s="23" t="s">
        <v>57</v>
      </c>
      <c r="D22" s="96">
        <f t="shared" ref="D22:M22" si="7">IF(D12=Life,-$D$7,IF(D12&lt;Life,0,""))</f>
        <v>0</v>
      </c>
      <c r="E22" s="69">
        <f t="shared" si="7"/>
        <v>0</v>
      </c>
      <c r="F22" s="69">
        <f t="shared" si="7"/>
        <v>0</v>
      </c>
      <c r="G22" s="69">
        <f t="shared" si="7"/>
        <v>0</v>
      </c>
      <c r="H22" s="69">
        <f t="shared" si="7"/>
        <v>0</v>
      </c>
      <c r="I22" s="69">
        <f t="shared" si="7"/>
        <v>0</v>
      </c>
      <c r="J22" s="69">
        <f t="shared" si="7"/>
        <v>0</v>
      </c>
      <c r="K22" s="69">
        <f t="shared" si="7"/>
        <v>-5000</v>
      </c>
      <c r="L22" s="69" t="str">
        <f t="shared" si="7"/>
        <v/>
      </c>
      <c r="M22" s="69" t="str">
        <f t="shared" si="7"/>
        <v/>
      </c>
    </row>
    <row r="23" spans="2:13" ht="17.25">
      <c r="C23" s="24" t="s">
        <v>59</v>
      </c>
      <c r="D23" s="97">
        <f>IF(D12=Life,'Depn-ATSV'!$K$66,IF(D12&lt;Life,0,""))</f>
        <v>0</v>
      </c>
      <c r="E23" s="97">
        <f>IF(E12=Life,'Depn-ATSV'!$K$66,IF(E12&lt;Life,0,""))</f>
        <v>0</v>
      </c>
      <c r="F23" s="97">
        <f>IF(F12=Life,'Depn-ATSV'!$K$66,IF(F12&lt;Life,0,""))</f>
        <v>0</v>
      </c>
      <c r="G23" s="97">
        <f>IF(G12=Life,'Depn-ATSV'!$K$66,IF(G12&lt;Life,0,""))</f>
        <v>0</v>
      </c>
      <c r="H23" s="97">
        <f>IF(H12=Life,'Depn-ATSV'!$K$66,IF(H12&lt;Life,0,""))</f>
        <v>0</v>
      </c>
      <c r="I23" s="97">
        <f>IF(I12=Life,'Depn-ATSV'!$K$66,IF(I12&lt;Life,0,""))</f>
        <v>0</v>
      </c>
      <c r="J23" s="97">
        <f>IF(J12=Life,'Depn-ATSV'!$K$66,IF(J12&lt;Life,0,""))</f>
        <v>0</v>
      </c>
      <c r="K23" s="97">
        <f>IF(K12=Life,'Depn-ATSV'!$K$66,IF(K12&lt;Life,0,""))</f>
        <v>16500</v>
      </c>
      <c r="L23" s="97" t="str">
        <f>IF(L12=Life,'Depn-ATSV'!$K$66,IF(L12&lt;Life,0,""))</f>
        <v/>
      </c>
      <c r="M23" s="97" t="str">
        <f>IF(M12=Life,'Depn-ATSV'!$K$66,IF(M12&lt;Life,0,""))</f>
        <v/>
      </c>
    </row>
    <row r="24" spans="2:13">
      <c r="C24" s="23" t="s">
        <v>67</v>
      </c>
      <c r="D24" s="96">
        <f t="shared" ref="D24:M24" si="8">IF(D12&gt;Life,"",SUM(D20:D23))</f>
        <v>15416</v>
      </c>
      <c r="E24" s="96">
        <f t="shared" si="8"/>
        <v>20801.599999999999</v>
      </c>
      <c r="F24" s="96">
        <f t="shared" si="8"/>
        <v>16449.599999999999</v>
      </c>
      <c r="G24" s="96">
        <f t="shared" si="8"/>
        <v>14817.6</v>
      </c>
      <c r="H24" s="96">
        <f t="shared" si="8"/>
        <v>15796.8</v>
      </c>
      <c r="I24" s="96">
        <f t="shared" si="8"/>
        <v>13838.4</v>
      </c>
      <c r="J24" s="96">
        <f t="shared" si="8"/>
        <v>11880</v>
      </c>
      <c r="K24" s="96">
        <f t="shared" si="8"/>
        <v>23380</v>
      </c>
      <c r="L24" s="96" t="str">
        <f t="shared" si="8"/>
        <v/>
      </c>
      <c r="M24" s="96" t="str">
        <f t="shared" si="8"/>
        <v/>
      </c>
    </row>
    <row r="25" spans="2:13" ht="6.6" customHeight="1" thickBot="1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2">
    <mergeCell ref="B2:D2"/>
    <mergeCell ref="B10:M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6"/>
  <sheetViews>
    <sheetView topLeftCell="C51" zoomScaleNormal="100" workbookViewId="0">
      <selection activeCell="G70" sqref="G70"/>
    </sheetView>
    <sheetView workbookViewId="1"/>
  </sheetViews>
  <sheetFormatPr defaultRowHeight="15"/>
  <cols>
    <col min="1" max="1" width="3.85546875" style="43" customWidth="1"/>
    <col min="2" max="2" width="22.5703125" customWidth="1"/>
    <col min="3" max="3" width="12.140625" customWidth="1"/>
    <col min="4" max="4" width="12.5703125" customWidth="1"/>
    <col min="5" max="5" width="10.140625" customWidth="1"/>
    <col min="6" max="6" width="9.5703125" customWidth="1"/>
    <col min="7" max="7" width="11.5703125" customWidth="1"/>
    <col min="8" max="9" width="9.5703125" customWidth="1"/>
    <col min="11" max="11" width="9.85546875" bestFit="1" customWidth="1"/>
    <col min="13" max="13" width="10.140625" customWidth="1"/>
  </cols>
  <sheetData>
    <row r="1" spans="1:7">
      <c r="B1" s="22"/>
      <c r="C1" s="22"/>
      <c r="D1" s="22"/>
      <c r="E1" s="22"/>
      <c r="F1" s="22"/>
      <c r="G1" s="22"/>
    </row>
    <row r="2" spans="1:7" ht="19.5" thickBot="1">
      <c r="B2" s="109" t="s">
        <v>32</v>
      </c>
      <c r="C2" s="109"/>
      <c r="D2" s="109"/>
      <c r="E2" s="109"/>
      <c r="F2" s="109"/>
      <c r="G2" s="22"/>
    </row>
    <row r="3" spans="1:7" ht="15.75" thickBot="1">
      <c r="B3" s="34" t="s">
        <v>27</v>
      </c>
      <c r="C3" s="35" t="s">
        <v>28</v>
      </c>
      <c r="D3" s="35" t="s">
        <v>29</v>
      </c>
      <c r="E3" s="35" t="s">
        <v>30</v>
      </c>
      <c r="F3" s="36" t="s">
        <v>31</v>
      </c>
      <c r="G3" s="22"/>
    </row>
    <row r="4" spans="1:7">
      <c r="B4" s="31">
        <v>1</v>
      </c>
      <c r="C4" s="32">
        <v>0.33329999999999999</v>
      </c>
      <c r="D4" s="32">
        <v>0.2</v>
      </c>
      <c r="E4" s="32">
        <v>0.1429</v>
      </c>
      <c r="F4" s="33">
        <v>0.1</v>
      </c>
      <c r="G4" s="22"/>
    </row>
    <row r="5" spans="1:7">
      <c r="B5" s="27">
        <v>2</v>
      </c>
      <c r="C5" s="26">
        <v>0.44450000000000001</v>
      </c>
      <c r="D5" s="26">
        <v>0.32</v>
      </c>
      <c r="E5" s="26">
        <v>0.24490000000000001</v>
      </c>
      <c r="F5" s="28">
        <v>0.18</v>
      </c>
      <c r="G5" s="22"/>
    </row>
    <row r="6" spans="1:7">
      <c r="B6" s="27">
        <v>3</v>
      </c>
      <c r="C6" s="26">
        <v>0.14810000000000001</v>
      </c>
      <c r="D6" s="26">
        <v>0.192</v>
      </c>
      <c r="E6" s="26">
        <v>0.1749</v>
      </c>
      <c r="F6" s="28">
        <v>0.14399999999999999</v>
      </c>
      <c r="G6" s="22"/>
    </row>
    <row r="7" spans="1:7">
      <c r="B7" s="27">
        <v>4</v>
      </c>
      <c r="C7" s="26">
        <v>7.4099999999999999E-2</v>
      </c>
      <c r="D7" s="26">
        <v>0.1152</v>
      </c>
      <c r="E7" s="26">
        <v>0.1249</v>
      </c>
      <c r="F7" s="28">
        <v>0.1152</v>
      </c>
      <c r="G7" s="22"/>
    </row>
    <row r="8" spans="1:7">
      <c r="B8" s="27">
        <v>5</v>
      </c>
      <c r="C8" s="37"/>
      <c r="D8" s="26">
        <v>0.1152</v>
      </c>
      <c r="E8" s="26">
        <v>8.9300000000000004E-2</v>
      </c>
      <c r="F8" s="28">
        <v>9.2200000000000004E-2</v>
      </c>
      <c r="G8" s="22"/>
    </row>
    <row r="9" spans="1:7">
      <c r="B9" s="27">
        <v>6</v>
      </c>
      <c r="C9" s="37"/>
      <c r="D9" s="26">
        <v>5.7599999999999998E-2</v>
      </c>
      <c r="E9" s="26">
        <v>8.9200000000000002E-2</v>
      </c>
      <c r="F9" s="28">
        <v>7.3700000000000002E-2</v>
      </c>
      <c r="G9" s="22"/>
    </row>
    <row r="10" spans="1:7">
      <c r="B10" s="27">
        <v>7</v>
      </c>
      <c r="C10" s="37"/>
      <c r="D10" s="37"/>
      <c r="E10" s="26">
        <v>8.9300000000000004E-2</v>
      </c>
      <c r="F10" s="28">
        <v>6.5500000000000003E-2</v>
      </c>
      <c r="G10" s="22"/>
    </row>
    <row r="11" spans="1:7">
      <c r="B11" s="27">
        <v>8</v>
      </c>
      <c r="C11" s="37"/>
      <c r="D11" s="37"/>
      <c r="E11" s="26">
        <v>4.4600000000000001E-2</v>
      </c>
      <c r="F11" s="28">
        <v>6.5500000000000003E-2</v>
      </c>
      <c r="G11" s="22"/>
    </row>
    <row r="12" spans="1:7">
      <c r="B12" s="27">
        <v>9</v>
      </c>
      <c r="C12" s="37"/>
      <c r="D12" s="37"/>
      <c r="E12" s="37"/>
      <c r="F12" s="28">
        <v>6.5600000000000006E-2</v>
      </c>
      <c r="G12" s="22"/>
    </row>
    <row r="13" spans="1:7">
      <c r="B13" s="27">
        <v>10</v>
      </c>
      <c r="C13" s="37"/>
      <c r="D13" s="37"/>
      <c r="E13" s="37"/>
      <c r="F13" s="28">
        <v>6.5500000000000003E-2</v>
      </c>
      <c r="G13" s="22"/>
    </row>
    <row r="14" spans="1:7" ht="15.75" thickBot="1">
      <c r="B14" s="29">
        <v>11</v>
      </c>
      <c r="C14" s="38"/>
      <c r="D14" s="38"/>
      <c r="E14" s="38"/>
      <c r="F14" s="30">
        <v>3.2800000000000003E-2</v>
      </c>
      <c r="G14" s="22"/>
    </row>
    <row r="16" spans="1:7" s="22" customFormat="1" ht="15.75" thickBot="1">
      <c r="A16" s="43"/>
      <c r="B16" s="111" t="s">
        <v>80</v>
      </c>
      <c r="C16" s="111"/>
      <c r="D16" s="111"/>
      <c r="E16" s="111"/>
      <c r="F16" s="111"/>
      <c r="G16" s="111"/>
    </row>
    <row r="17" spans="1:16" s="22" customFormat="1">
      <c r="A17" s="43"/>
      <c r="B17" s="56" t="s">
        <v>33</v>
      </c>
      <c r="C17" s="56"/>
      <c r="D17" s="56"/>
      <c r="E17" s="56"/>
      <c r="F17" s="56" t="s">
        <v>55</v>
      </c>
    </row>
    <row r="18" spans="1:16" s="22" customFormat="1" ht="5.45" customHeight="1">
      <c r="A18" s="43"/>
    </row>
    <row r="19" spans="1:16" s="22" customFormat="1">
      <c r="A19" s="43"/>
      <c r="B19" s="57" t="s">
        <v>34</v>
      </c>
      <c r="C19" s="23">
        <f>'Inputs-Outputs'!F5</f>
        <v>50000</v>
      </c>
      <c r="F19" s="57" t="s">
        <v>34</v>
      </c>
      <c r="G19" s="23">
        <f>'Inputs-Outputs'!G5</f>
        <v>100000</v>
      </c>
      <c r="N19" s="68" t="s">
        <v>26</v>
      </c>
      <c r="O19" s="22">
        <v>3</v>
      </c>
      <c r="P19" s="22">
        <v>2</v>
      </c>
    </row>
    <row r="20" spans="1:16" s="22" customFormat="1">
      <c r="A20" s="43"/>
      <c r="B20" s="57" t="s">
        <v>35</v>
      </c>
      <c r="C20" s="23" t="str">
        <f>'Inputs-Outputs'!F12</f>
        <v>MACRS</v>
      </c>
      <c r="F20" s="57" t="s">
        <v>35</v>
      </c>
      <c r="G20" s="23" t="str">
        <f>'Inputs-Outputs'!G12</f>
        <v>MACRS</v>
      </c>
      <c r="N20" s="68" t="s">
        <v>144</v>
      </c>
      <c r="O20" s="22">
        <v>5</v>
      </c>
      <c r="P20" s="22">
        <v>3</v>
      </c>
    </row>
    <row r="21" spans="1:16" s="22" customFormat="1">
      <c r="A21" s="43"/>
      <c r="B21" s="57" t="s">
        <v>36</v>
      </c>
      <c r="C21" s="23" t="str">
        <f>'Inputs-Outputs'!F13</f>
        <v>5-Year</v>
      </c>
      <c r="F21" s="57" t="s">
        <v>36</v>
      </c>
      <c r="G21" s="23" t="str">
        <f>'Inputs-Outputs'!G13</f>
        <v>5-Year</v>
      </c>
      <c r="N21" s="68" t="s">
        <v>145</v>
      </c>
      <c r="O21" s="22">
        <v>7</v>
      </c>
      <c r="P21" s="22">
        <v>4</v>
      </c>
    </row>
    <row r="22" spans="1:16" s="22" customFormat="1" ht="15.75" thickBot="1">
      <c r="A22" s="43"/>
      <c r="B22" s="58" t="s">
        <v>37</v>
      </c>
      <c r="C22" s="25">
        <f>'Inputs-Outputs'!F7</f>
        <v>2</v>
      </c>
      <c r="D22" s="41"/>
      <c r="E22" s="41"/>
      <c r="F22" s="41"/>
      <c r="G22" s="25"/>
      <c r="N22" s="68" t="s">
        <v>146</v>
      </c>
      <c r="O22" s="22">
        <v>10</v>
      </c>
      <c r="P22" s="22">
        <v>5</v>
      </c>
    </row>
    <row r="23" spans="1:16" s="22" customFormat="1">
      <c r="A23" s="43"/>
    </row>
    <row r="24" spans="1:16" s="68" customFormat="1">
      <c r="A24" s="43"/>
      <c r="B24" s="92" t="s">
        <v>148</v>
      </c>
      <c r="C24" s="68">
        <f>VLOOKUP(C21,$N$19:$O$22,2,FALSE)</f>
        <v>5</v>
      </c>
      <c r="D24" s="92" t="s">
        <v>148</v>
      </c>
      <c r="G24" s="68">
        <f>VLOOKUP(G21,$N$19:$O$22,2,FALSE)</f>
        <v>5</v>
      </c>
    </row>
    <row r="25" spans="1:16" s="68" customFormat="1">
      <c r="A25" s="43"/>
      <c r="B25" s="92" t="s">
        <v>147</v>
      </c>
      <c r="C25" s="77">
        <f>C19/C24</f>
        <v>10000</v>
      </c>
      <c r="D25" s="92" t="s">
        <v>147</v>
      </c>
      <c r="G25" s="77">
        <f>G19/G24</f>
        <v>20000</v>
      </c>
    </row>
    <row r="26" spans="1:16" s="68" customFormat="1">
      <c r="A26" s="43"/>
      <c r="B26" s="92" t="s">
        <v>149</v>
      </c>
      <c r="C26" s="68">
        <f>VLOOKUP(C21,$N$19:$P$22,3,FALSE)</f>
        <v>3</v>
      </c>
      <c r="D26" s="92" t="s">
        <v>149</v>
      </c>
      <c r="G26" s="68">
        <f>VLOOKUP(G21,$N$19:$P$22,3,FALSE)</f>
        <v>3</v>
      </c>
    </row>
    <row r="27" spans="1:16" s="68" customFormat="1">
      <c r="A27" s="43"/>
    </row>
    <row r="28" spans="1:16">
      <c r="A28" s="46"/>
      <c r="B28" s="62" t="s">
        <v>81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1:16">
      <c r="A29" s="48"/>
      <c r="B29" s="59" t="s">
        <v>27</v>
      </c>
      <c r="C29" s="47">
        <v>1</v>
      </c>
      <c r="D29" s="47">
        <v>2</v>
      </c>
      <c r="E29" s="47">
        <v>3</v>
      </c>
      <c r="F29" s="47">
        <v>4</v>
      </c>
      <c r="G29" s="47">
        <v>5</v>
      </c>
      <c r="H29" s="47">
        <v>6</v>
      </c>
      <c r="I29" s="47">
        <v>7</v>
      </c>
      <c r="J29" s="47">
        <v>8</v>
      </c>
      <c r="K29" s="47">
        <v>9</v>
      </c>
      <c r="L29" s="47">
        <v>10</v>
      </c>
      <c r="M29" s="94" t="s">
        <v>45</v>
      </c>
      <c r="N29" s="47"/>
      <c r="O29" s="47"/>
    </row>
    <row r="30" spans="1:16" s="22" customFormat="1">
      <c r="A30" s="48"/>
      <c r="B30" s="47"/>
      <c r="C30" s="93">
        <f>IF(C29&gt;$C$22,0,IF($C$20="SL",$C$25,VLOOKUP(C29,$B$4:$F$14,$C$26)*$C$19))</f>
        <v>10000</v>
      </c>
      <c r="D30" s="93">
        <f t="shared" ref="D30:E30" si="0">IF(D29&gt;$C$22,0,IF($C$20="SL",$C$25,VLOOKUP(D29,$B$4:$F$14,$C$26)*$C$19))</f>
        <v>16000</v>
      </c>
      <c r="E30" s="93">
        <f t="shared" si="0"/>
        <v>0</v>
      </c>
      <c r="F30" s="93">
        <f t="shared" ref="F30" si="1">IF(F29&gt;$C$22,0,IF($C$20="SL",$C$25,VLOOKUP(F29,$B$4:$F$14,$C$26)*$C$19))</f>
        <v>0</v>
      </c>
      <c r="G30" s="93">
        <f t="shared" ref="G30" si="2">IF(G29&gt;$C$22,0,IF($C$20="SL",$C$25,VLOOKUP(G29,$B$4:$F$14,$C$26)*$C$19))</f>
        <v>0</v>
      </c>
      <c r="H30" s="93">
        <f t="shared" ref="H30" si="3">IF(H29&gt;$C$22,0,IF($C$20="SL",$C$25,VLOOKUP(H29,$B$4:$F$14,$C$26)*$C$19))</f>
        <v>0</v>
      </c>
      <c r="I30" s="93">
        <f t="shared" ref="I30" si="4">IF(I29&gt;$C$22,0,IF($C$20="SL",$C$25,VLOOKUP(I29,$B$4:$F$14,$C$26)*$C$19))</f>
        <v>0</v>
      </c>
      <c r="J30" s="93">
        <f t="shared" ref="J30" si="5">IF(J29&gt;$C$22,0,IF($C$20="SL",$C$25,VLOOKUP(J29,$B$4:$F$14,$C$26)*$C$19))</f>
        <v>0</v>
      </c>
      <c r="K30" s="93">
        <f t="shared" ref="K30" si="6">IF(K29&gt;$C$22,0,IF($C$20="SL",$C$25,VLOOKUP(K29,$B$4:$F$14,$C$26)*$C$19))</f>
        <v>0</v>
      </c>
      <c r="L30" s="93">
        <f t="shared" ref="L30" si="7">IF(L29&gt;$C$22,0,IF($C$20="SL",$C$25,VLOOKUP(L29,$B$4:$F$14,$C$26)*$C$19))</f>
        <v>0</v>
      </c>
      <c r="M30" s="23">
        <f>SUM(C30:L30)</f>
        <v>26000</v>
      </c>
      <c r="N30" s="49"/>
      <c r="O30" s="47"/>
    </row>
    <row r="31" spans="1:16" s="22" customFormat="1">
      <c r="A31" s="48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6" s="22" customFormat="1">
      <c r="A32" s="43"/>
      <c r="B32" s="56" t="s">
        <v>82</v>
      </c>
    </row>
    <row r="33" spans="1:13">
      <c r="B33" s="60" t="s">
        <v>27</v>
      </c>
      <c r="C33">
        <v>1</v>
      </c>
      <c r="D33">
        <v>2</v>
      </c>
      <c r="E33">
        <v>3</v>
      </c>
      <c r="F33">
        <v>4</v>
      </c>
      <c r="G33">
        <v>5</v>
      </c>
      <c r="H33">
        <v>6</v>
      </c>
      <c r="I33">
        <v>7</v>
      </c>
      <c r="J33">
        <v>8</v>
      </c>
      <c r="K33">
        <v>9</v>
      </c>
      <c r="L33">
        <v>10</v>
      </c>
      <c r="M33" s="22" t="s">
        <v>45</v>
      </c>
    </row>
    <row r="34" spans="1:13" s="22" customFormat="1">
      <c r="A34" s="43"/>
      <c r="B34" s="60" t="s">
        <v>54</v>
      </c>
      <c r="C34" s="96">
        <f t="shared" ref="C34:L34" si="8">IF(C33&gt;Life,0,IF($G$20="SL",IF(C33&gt;$G$24,0,$G$25),VLOOKUP(C33,$B$4:$F$14,$G$26)*$G$19))</f>
        <v>20000</v>
      </c>
      <c r="D34" s="96">
        <f t="shared" si="8"/>
        <v>32000</v>
      </c>
      <c r="E34" s="96">
        <f t="shared" si="8"/>
        <v>19200</v>
      </c>
      <c r="F34" s="96">
        <f t="shared" si="8"/>
        <v>11520</v>
      </c>
      <c r="G34" s="96">
        <f t="shared" si="8"/>
        <v>11520</v>
      </c>
      <c r="H34" s="96">
        <f t="shared" si="8"/>
        <v>5760</v>
      </c>
      <c r="I34" s="96">
        <f t="shared" si="8"/>
        <v>0</v>
      </c>
      <c r="J34" s="96">
        <f t="shared" si="8"/>
        <v>0</v>
      </c>
      <c r="K34" s="96">
        <f t="shared" si="8"/>
        <v>0</v>
      </c>
      <c r="L34" s="96">
        <f t="shared" si="8"/>
        <v>0</v>
      </c>
      <c r="M34" s="69">
        <f t="shared" ref="M34:M35" si="9">SUM(C34:L34)</f>
        <v>100000</v>
      </c>
    </row>
    <row r="35" spans="1:13" ht="17.25">
      <c r="B35" s="61" t="s">
        <v>53</v>
      </c>
      <c r="C35" s="97">
        <f t="shared" ref="C35:L35" si="10">IF(C33&gt;Life,0,IF($C$20="SL",IF(C33+$C$22&gt;$C$24,0,$C$25),VLOOKUP(C33+$C$22,$B$4:$F$14,$C$26)*$C$19))</f>
        <v>9600</v>
      </c>
      <c r="D35" s="97">
        <f t="shared" si="10"/>
        <v>5760</v>
      </c>
      <c r="E35" s="97">
        <f t="shared" si="10"/>
        <v>5760</v>
      </c>
      <c r="F35" s="97">
        <f t="shared" si="10"/>
        <v>2880</v>
      </c>
      <c r="G35" s="97">
        <f t="shared" si="10"/>
        <v>0</v>
      </c>
      <c r="H35" s="97">
        <f t="shared" si="10"/>
        <v>0</v>
      </c>
      <c r="I35" s="97">
        <f t="shared" si="10"/>
        <v>0</v>
      </c>
      <c r="J35" s="97">
        <f t="shared" si="10"/>
        <v>0</v>
      </c>
      <c r="K35" s="97">
        <f t="shared" si="10"/>
        <v>0</v>
      </c>
      <c r="L35" s="97">
        <f t="shared" si="10"/>
        <v>0</v>
      </c>
      <c r="M35" s="69">
        <f t="shared" si="9"/>
        <v>24000</v>
      </c>
    </row>
    <row r="36" spans="1:13">
      <c r="B36" s="60" t="s">
        <v>56</v>
      </c>
      <c r="C36" s="23">
        <f>C34-C35</f>
        <v>10400</v>
      </c>
      <c r="D36" s="69">
        <f t="shared" ref="D36:L36" si="11">D34-D35</f>
        <v>26240</v>
      </c>
      <c r="E36" s="69">
        <f t="shared" si="11"/>
        <v>13440</v>
      </c>
      <c r="F36" s="69">
        <f t="shared" si="11"/>
        <v>8640</v>
      </c>
      <c r="G36" s="69">
        <f t="shared" si="11"/>
        <v>11520</v>
      </c>
      <c r="H36" s="69">
        <f t="shared" si="11"/>
        <v>5760</v>
      </c>
      <c r="I36" s="69">
        <f t="shared" si="11"/>
        <v>0</v>
      </c>
      <c r="J36" s="69">
        <f t="shared" si="11"/>
        <v>0</v>
      </c>
      <c r="K36" s="69">
        <f t="shared" si="11"/>
        <v>0</v>
      </c>
      <c r="L36" s="69">
        <f t="shared" si="11"/>
        <v>0</v>
      </c>
    </row>
    <row r="38" spans="1:13" s="22" customFormat="1">
      <c r="A38" s="43"/>
      <c r="B38" s="110" t="s">
        <v>66</v>
      </c>
      <c r="C38" s="110"/>
      <c r="D38" s="110"/>
      <c r="E38" s="110"/>
    </row>
    <row r="39" spans="1:13" ht="6.95" customHeight="1"/>
    <row r="40" spans="1:13">
      <c r="B40" s="23" t="s">
        <v>60</v>
      </c>
      <c r="D40" s="69">
        <f>C19</f>
        <v>50000</v>
      </c>
      <c r="E40" s="1"/>
    </row>
    <row r="41" spans="1:13" ht="18" thickBot="1">
      <c r="A41" s="44" t="s">
        <v>14</v>
      </c>
      <c r="B41" s="40" t="s">
        <v>40</v>
      </c>
      <c r="C41" s="41"/>
      <c r="D41" s="25">
        <f>-M30</f>
        <v>-26000</v>
      </c>
      <c r="E41" s="24"/>
    </row>
    <row r="42" spans="1:13">
      <c r="A42" s="44"/>
      <c r="B42" s="23" t="s">
        <v>39</v>
      </c>
      <c r="D42" s="69">
        <f>SUM(D40:D41)</f>
        <v>24000</v>
      </c>
      <c r="E42" s="1"/>
    </row>
    <row r="43" spans="1:13">
      <c r="A43" s="44"/>
      <c r="B43" s="1"/>
      <c r="E43" s="1"/>
    </row>
    <row r="44" spans="1:13">
      <c r="A44" s="44"/>
      <c r="B44" s="23" t="s">
        <v>38</v>
      </c>
      <c r="D44" s="69">
        <f>'Inputs-Outputs'!F14</f>
        <v>30000</v>
      </c>
      <c r="E44" s="1"/>
    </row>
    <row r="45" spans="1:13" ht="18" thickBot="1">
      <c r="A45" s="44" t="s">
        <v>14</v>
      </c>
      <c r="B45" s="40" t="s">
        <v>39</v>
      </c>
      <c r="C45" s="41"/>
      <c r="D45" s="25">
        <f>-D42</f>
        <v>-24000</v>
      </c>
      <c r="E45" s="24"/>
    </row>
    <row r="46" spans="1:13">
      <c r="A46" s="44"/>
      <c r="B46" s="23" t="s">
        <v>41</v>
      </c>
      <c r="D46" s="69">
        <f>SUM(D44:D45)</f>
        <v>6000</v>
      </c>
      <c r="E46" s="4"/>
    </row>
    <row r="47" spans="1:13" ht="15.75" thickBot="1">
      <c r="A47" s="44" t="s">
        <v>42</v>
      </c>
      <c r="B47" s="40" t="s">
        <v>43</v>
      </c>
      <c r="C47" s="41"/>
      <c r="D47" s="95">
        <f>-'Inputs-Outputs'!J5</f>
        <v>-0.34</v>
      </c>
      <c r="E47" s="21"/>
    </row>
    <row r="48" spans="1:13">
      <c r="B48" s="42" t="s">
        <v>44</v>
      </c>
      <c r="D48" s="69">
        <f>D46*D47</f>
        <v>-2040.0000000000002</v>
      </c>
      <c r="E48" s="1"/>
    </row>
    <row r="49" spans="1:11" s="22" customFormat="1">
      <c r="A49" s="43"/>
      <c r="B49" s="42"/>
      <c r="E49" s="23"/>
    </row>
    <row r="50" spans="1:11" s="22" customFormat="1">
      <c r="A50" s="43"/>
      <c r="B50" s="110" t="str">
        <f>"Tax Effect at t="&amp;'Inputs-Outputs'!$G$6&amp;" for OLD Project"</f>
        <v>Tax Effect at t=8 for OLD Project</v>
      </c>
      <c r="C50" s="110"/>
      <c r="D50" s="110"/>
      <c r="E50" s="110"/>
      <c r="H50" s="110" t="str">
        <f>"Tax Effect at t="&amp;'Inputs-Outputs'!$G$6&amp;" for NEW Project"</f>
        <v>Tax Effect at t=8 for NEW Project</v>
      </c>
      <c r="I50" s="110"/>
      <c r="J50" s="110"/>
      <c r="K50" s="110"/>
    </row>
    <row r="52" spans="1:11">
      <c r="B52" s="23" t="s">
        <v>60</v>
      </c>
      <c r="C52" s="22"/>
      <c r="D52" s="69">
        <f>C19</f>
        <v>50000</v>
      </c>
      <c r="E52" s="23"/>
      <c r="G52" s="43"/>
      <c r="H52" s="23" t="s">
        <v>61</v>
      </c>
      <c r="I52" s="22"/>
      <c r="J52" s="22"/>
      <c r="K52" s="23">
        <f>G19</f>
        <v>100000</v>
      </c>
    </row>
    <row r="53" spans="1:11" ht="18" thickBot="1">
      <c r="A53" s="44" t="s">
        <v>14</v>
      </c>
      <c r="B53" s="40" t="s">
        <v>40</v>
      </c>
      <c r="C53" s="41"/>
      <c r="D53" s="25">
        <f>-(M30+M35)</f>
        <v>-50000</v>
      </c>
      <c r="E53" s="24"/>
      <c r="G53" s="44" t="s">
        <v>14</v>
      </c>
      <c r="H53" s="40" t="s">
        <v>40</v>
      </c>
      <c r="I53" s="41"/>
      <c r="J53" s="41"/>
      <c r="K53" s="24">
        <f>-M34</f>
        <v>-100000</v>
      </c>
    </row>
    <row r="54" spans="1:11">
      <c r="A54" s="44"/>
      <c r="B54" s="23" t="s">
        <v>39</v>
      </c>
      <c r="C54" s="22"/>
      <c r="D54" s="69">
        <f>D52+D53</f>
        <v>0</v>
      </c>
      <c r="E54" s="23"/>
      <c r="G54" s="44"/>
      <c r="H54" s="23" t="s">
        <v>39</v>
      </c>
      <c r="I54" s="22"/>
      <c r="J54" s="22"/>
      <c r="K54" s="23">
        <f>K52+K53</f>
        <v>0</v>
      </c>
    </row>
    <row r="55" spans="1:11">
      <c r="A55" s="44"/>
      <c r="B55" s="23"/>
      <c r="C55" s="22"/>
      <c r="D55" s="22"/>
      <c r="E55" s="23"/>
      <c r="G55" s="44"/>
      <c r="H55" s="23"/>
      <c r="I55" s="22"/>
      <c r="J55" s="22"/>
      <c r="K55" s="23"/>
    </row>
    <row r="56" spans="1:11">
      <c r="A56" s="44"/>
      <c r="B56" s="23" t="s">
        <v>38</v>
      </c>
      <c r="C56" s="22"/>
      <c r="D56" s="69">
        <f>'Inputs-Outputs'!F15</f>
        <v>5000</v>
      </c>
      <c r="E56" s="23"/>
      <c r="G56" s="44"/>
      <c r="H56" s="23" t="s">
        <v>64</v>
      </c>
      <c r="I56" s="22"/>
      <c r="J56" s="22"/>
      <c r="K56" s="23">
        <f>'Inputs-Outputs'!G15</f>
        <v>30000</v>
      </c>
    </row>
    <row r="57" spans="1:11" ht="18" thickBot="1">
      <c r="A57" s="44" t="s">
        <v>14</v>
      </c>
      <c r="B57" s="40" t="s">
        <v>39</v>
      </c>
      <c r="C57" s="41"/>
      <c r="D57" s="25">
        <f>-D54</f>
        <v>0</v>
      </c>
      <c r="E57" s="24"/>
      <c r="G57" s="44" t="s">
        <v>14</v>
      </c>
      <c r="H57" s="25" t="s">
        <v>65</v>
      </c>
      <c r="I57" s="41"/>
      <c r="J57" s="41"/>
      <c r="K57" s="24">
        <f>-K54</f>
        <v>0</v>
      </c>
    </row>
    <row r="58" spans="1:11">
      <c r="A58" s="44"/>
      <c r="B58" s="23" t="s">
        <v>41</v>
      </c>
      <c r="C58" s="22"/>
      <c r="D58" s="69">
        <f>SUM(D56:D57)</f>
        <v>5000</v>
      </c>
      <c r="E58" s="4"/>
      <c r="G58" s="44"/>
      <c r="H58" s="23" t="s">
        <v>41</v>
      </c>
      <c r="I58" s="22"/>
      <c r="J58" s="22"/>
      <c r="K58" s="4">
        <f>SUM(K56:K57)</f>
        <v>30000</v>
      </c>
    </row>
    <row r="59" spans="1:11" ht="15.75" thickBot="1">
      <c r="A59" s="44" t="s">
        <v>42</v>
      </c>
      <c r="B59" s="40" t="s">
        <v>43</v>
      </c>
      <c r="C59" s="41"/>
      <c r="D59" s="41">
        <f>-TaxRate</f>
        <v>-0.34</v>
      </c>
      <c r="E59" s="21"/>
      <c r="G59" s="44" t="s">
        <v>42</v>
      </c>
      <c r="H59" s="40" t="s">
        <v>43</v>
      </c>
      <c r="I59" s="41"/>
      <c r="J59" s="41"/>
      <c r="K59" s="21">
        <f>-TaxRate</f>
        <v>-0.34</v>
      </c>
    </row>
    <row r="60" spans="1:11">
      <c r="B60" s="42" t="s">
        <v>44</v>
      </c>
      <c r="C60" s="22"/>
      <c r="D60" s="69">
        <f>D58*D59</f>
        <v>-1700.0000000000002</v>
      </c>
      <c r="E60" s="23"/>
      <c r="G60" s="43"/>
      <c r="H60" s="42" t="s">
        <v>44</v>
      </c>
      <c r="I60" s="22"/>
      <c r="J60" s="22"/>
      <c r="K60" s="69">
        <f>K58*K59</f>
        <v>-10200</v>
      </c>
    </row>
    <row r="62" spans="1:11">
      <c r="B62" s="69" t="s">
        <v>38</v>
      </c>
      <c r="D62" s="69">
        <f>D56</f>
        <v>5000</v>
      </c>
      <c r="E62" s="23"/>
      <c r="G62" s="43"/>
      <c r="H62" s="69" t="s">
        <v>38</v>
      </c>
      <c r="I62" s="22"/>
      <c r="J62" s="22"/>
      <c r="K62" s="69">
        <f>K56</f>
        <v>30000</v>
      </c>
    </row>
    <row r="63" spans="1:11" ht="15.75" thickBot="1">
      <c r="A63" s="50" t="s">
        <v>17</v>
      </c>
      <c r="B63" s="25" t="s">
        <v>44</v>
      </c>
      <c r="C63" s="41"/>
      <c r="D63" s="25">
        <f>D60</f>
        <v>-1700.0000000000002</v>
      </c>
      <c r="E63" s="25"/>
      <c r="G63" s="50" t="s">
        <v>17</v>
      </c>
      <c r="H63" s="25" t="s">
        <v>44</v>
      </c>
      <c r="I63" s="41"/>
      <c r="J63" s="41"/>
      <c r="K63" s="25">
        <f>K60</f>
        <v>-10200</v>
      </c>
    </row>
    <row r="64" spans="1:11">
      <c r="B64" s="45" t="s">
        <v>62</v>
      </c>
      <c r="D64" s="69">
        <f>SUM(D62:D63)</f>
        <v>3300</v>
      </c>
      <c r="E64" s="23"/>
      <c r="G64" s="43"/>
      <c r="H64" s="45" t="s">
        <v>63</v>
      </c>
      <c r="I64" s="22"/>
      <c r="J64" s="22"/>
      <c r="K64" s="69">
        <f>SUM(K62:K63)</f>
        <v>19800</v>
      </c>
    </row>
    <row r="66" spans="8:11">
      <c r="H66" s="45" t="s">
        <v>59</v>
      </c>
      <c r="K66" s="23">
        <f>K64-D64</f>
        <v>16500</v>
      </c>
    </row>
  </sheetData>
  <mergeCells count="5">
    <mergeCell ref="B2:F2"/>
    <mergeCell ref="B38:E38"/>
    <mergeCell ref="B50:E50"/>
    <mergeCell ref="H50:K50"/>
    <mergeCell ref="B16:G1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M17"/>
  <sheetViews>
    <sheetView workbookViewId="0">
      <selection activeCell="E17" activeCellId="2" sqref="C9 C17 E17"/>
    </sheetView>
    <sheetView workbookViewId="1"/>
  </sheetViews>
  <sheetFormatPr defaultRowHeight="15"/>
  <sheetData>
    <row r="3" spans="2:13">
      <c r="B3" s="65">
        <v>0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/>
    </row>
    <row r="4" spans="2:13">
      <c r="B4" s="66">
        <f>-'CF Detail'!D8</f>
        <v>77040</v>
      </c>
      <c r="C4" s="66">
        <f>'CF Detail'!D24</f>
        <v>15416</v>
      </c>
      <c r="D4" s="69">
        <f>'CF Detail'!E24</f>
        <v>20801.599999999999</v>
      </c>
      <c r="E4" s="69">
        <f>'CF Detail'!F24</f>
        <v>16449.599999999999</v>
      </c>
      <c r="F4" s="69">
        <f>'CF Detail'!G24</f>
        <v>14817.6</v>
      </c>
      <c r="G4" s="69">
        <f>'CF Detail'!H24</f>
        <v>15796.8</v>
      </c>
      <c r="H4" s="69">
        <f>'CF Detail'!I24</f>
        <v>13838.4</v>
      </c>
      <c r="I4" s="69">
        <f>'CF Detail'!J24</f>
        <v>11880</v>
      </c>
      <c r="J4" s="69">
        <f>'CF Detail'!K24</f>
        <v>23380</v>
      </c>
      <c r="K4" s="69" t="str">
        <f>'CF Detail'!L24</f>
        <v/>
      </c>
      <c r="L4" s="69" t="str">
        <f>'CF Detail'!M24</f>
        <v/>
      </c>
      <c r="M4" s="66"/>
    </row>
    <row r="6" spans="2:13">
      <c r="B6" s="65"/>
      <c r="C6" s="66"/>
      <c r="D6" s="66"/>
      <c r="E6" s="66"/>
      <c r="F6" s="66"/>
      <c r="G6" s="66"/>
      <c r="H6" s="66"/>
      <c r="I6" s="66"/>
      <c r="J6" s="66"/>
      <c r="K6" s="66"/>
      <c r="L6" s="66"/>
      <c r="M6" s="65"/>
    </row>
    <row r="7" spans="2:13"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2:13" ht="15.75" thickBot="1"/>
    <row r="9" spans="2:13" ht="15.75" thickBot="1">
      <c r="B9" s="65" t="s">
        <v>76</v>
      </c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</row>
    <row r="11" spans="2:13">
      <c r="B11" s="65">
        <v>0</v>
      </c>
      <c r="C11" s="65">
        <v>1</v>
      </c>
      <c r="D11" s="65">
        <v>2</v>
      </c>
      <c r="E11" s="65">
        <v>3</v>
      </c>
      <c r="F11" s="65">
        <v>4</v>
      </c>
      <c r="G11" s="65">
        <v>5</v>
      </c>
      <c r="H11" s="65">
        <v>6</v>
      </c>
      <c r="I11" s="65">
        <v>7</v>
      </c>
      <c r="J11" s="65">
        <v>8</v>
      </c>
      <c r="K11" s="65">
        <v>9</v>
      </c>
      <c r="L11" s="65">
        <v>10</v>
      </c>
      <c r="M11" s="65"/>
    </row>
    <row r="12" spans="2:13">
      <c r="B12" s="66">
        <f>B4</f>
        <v>77040</v>
      </c>
      <c r="C12" s="69">
        <f t="shared" ref="C12:L12" si="0">C4</f>
        <v>15416</v>
      </c>
      <c r="D12" s="69">
        <f t="shared" si="0"/>
        <v>20801.599999999999</v>
      </c>
      <c r="E12" s="69">
        <f t="shared" si="0"/>
        <v>16449.599999999999</v>
      </c>
      <c r="F12" s="69">
        <f t="shared" si="0"/>
        <v>14817.6</v>
      </c>
      <c r="G12" s="69">
        <f t="shared" si="0"/>
        <v>15796.8</v>
      </c>
      <c r="H12" s="69">
        <f t="shared" si="0"/>
        <v>13838.4</v>
      </c>
      <c r="I12" s="69">
        <f t="shared" si="0"/>
        <v>11880</v>
      </c>
      <c r="J12" s="69">
        <f t="shared" si="0"/>
        <v>23380</v>
      </c>
      <c r="K12" s="69" t="str">
        <f t="shared" si="0"/>
        <v/>
      </c>
      <c r="L12" s="69" t="str">
        <f t="shared" si="0"/>
        <v/>
      </c>
      <c r="M12" s="65"/>
    </row>
    <row r="14" spans="2:13">
      <c r="B14" s="65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5"/>
    </row>
    <row r="15" spans="2:13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</row>
    <row r="16" spans="2:13" ht="15.75" thickBot="1"/>
    <row r="17" spans="2:3" ht="15.75" thickBot="1">
      <c r="B17" s="65" t="s">
        <v>83</v>
      </c>
      <c r="C17" s="6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K147"/>
  <sheetViews>
    <sheetView workbookViewId="0">
      <selection activeCell="M9" sqref="M9"/>
    </sheetView>
    <sheetView workbookViewId="1"/>
  </sheetViews>
  <sheetFormatPr defaultRowHeight="15"/>
  <cols>
    <col min="1" max="1" width="3.42578125" customWidth="1"/>
    <col min="2" max="2" width="4.5703125" customWidth="1"/>
    <col min="3" max="3" width="8.42578125" customWidth="1"/>
    <col min="5" max="5" width="11.42578125" customWidth="1"/>
    <col min="6" max="6" width="10.7109375" customWidth="1"/>
    <col min="8" max="8" width="4.140625" customWidth="1"/>
    <col min="9" max="10" width="11.42578125" customWidth="1"/>
  </cols>
  <sheetData>
    <row r="2" spans="2:2">
      <c r="B2" s="68" t="s">
        <v>84</v>
      </c>
    </row>
    <row r="3" spans="2:2">
      <c r="B3" s="68" t="s">
        <v>85</v>
      </c>
    </row>
    <row r="4" spans="2:2">
      <c r="B4" s="68" t="s">
        <v>86</v>
      </c>
    </row>
    <row r="5" spans="2:2">
      <c r="B5" s="68" t="s">
        <v>87</v>
      </c>
    </row>
    <row r="6" spans="2:2">
      <c r="B6" s="68"/>
    </row>
    <row r="7" spans="2:2">
      <c r="B7" s="68" t="s">
        <v>88</v>
      </c>
    </row>
    <row r="8" spans="2:2">
      <c r="B8" s="68" t="s">
        <v>89</v>
      </c>
    </row>
    <row r="9" spans="2:2">
      <c r="B9" s="68" t="s">
        <v>90</v>
      </c>
    </row>
    <row r="10" spans="2:2">
      <c r="B10" s="68" t="s">
        <v>91</v>
      </c>
    </row>
    <row r="11" spans="2:2">
      <c r="B11" s="68"/>
    </row>
    <row r="12" spans="2:2">
      <c r="B12" s="68" t="s">
        <v>92</v>
      </c>
    </row>
    <row r="13" spans="2:2">
      <c r="B13" s="68" t="s">
        <v>93</v>
      </c>
    </row>
    <row r="14" spans="2:2">
      <c r="B14" s="68" t="s">
        <v>94</v>
      </c>
    </row>
    <row r="15" spans="2:2">
      <c r="B15" s="68" t="s">
        <v>95</v>
      </c>
    </row>
    <row r="17" spans="2:7">
      <c r="B17" s="71" t="s">
        <v>96</v>
      </c>
      <c r="C17" s="68"/>
      <c r="D17" s="68"/>
      <c r="E17" s="68"/>
      <c r="F17" s="68"/>
      <c r="G17" s="68"/>
    </row>
    <row r="18" spans="2:7">
      <c r="B18" s="68"/>
      <c r="C18" s="68" t="s">
        <v>27</v>
      </c>
      <c r="D18" s="68" t="s">
        <v>71</v>
      </c>
      <c r="E18" s="68"/>
      <c r="F18" s="68" t="s">
        <v>27</v>
      </c>
      <c r="G18" s="73">
        <f>D28</f>
        <v>0</v>
      </c>
    </row>
    <row r="19" spans="2:7">
      <c r="B19" s="68"/>
      <c r="C19" s="68">
        <v>0</v>
      </c>
      <c r="D19" s="74">
        <v>-12000</v>
      </c>
      <c r="E19" s="68"/>
      <c r="F19" s="68">
        <v>0</v>
      </c>
      <c r="G19" s="68"/>
    </row>
    <row r="20" spans="2:7">
      <c r="B20" s="68"/>
      <c r="C20" s="68">
        <v>1</v>
      </c>
      <c r="D20" s="74">
        <v>2000</v>
      </c>
      <c r="E20" s="68"/>
      <c r="F20" s="75">
        <v>0.05</v>
      </c>
      <c r="G20" s="68"/>
    </row>
    <row r="21" spans="2:7">
      <c r="B21" s="68"/>
      <c r="C21" s="68">
        <v>2</v>
      </c>
      <c r="D21" s="74">
        <v>3000</v>
      </c>
      <c r="E21" s="68"/>
      <c r="F21" s="75">
        <v>0.1</v>
      </c>
      <c r="G21" s="68"/>
    </row>
    <row r="22" spans="2:7">
      <c r="B22" s="68"/>
      <c r="C22" s="68">
        <v>3</v>
      </c>
      <c r="D22" s="74">
        <v>4000</v>
      </c>
      <c r="E22" s="68"/>
      <c r="F22" s="75">
        <v>0.15</v>
      </c>
      <c r="G22" s="68"/>
    </row>
    <row r="23" spans="2:7">
      <c r="B23" s="68"/>
      <c r="C23" s="68">
        <v>4</v>
      </c>
      <c r="D23" s="74">
        <v>5000</v>
      </c>
      <c r="E23" s="68"/>
      <c r="F23" s="75">
        <v>0.2</v>
      </c>
      <c r="G23" s="68"/>
    </row>
    <row r="24" spans="2:7">
      <c r="B24" s="68"/>
      <c r="C24" s="68">
        <v>5</v>
      </c>
      <c r="D24" s="74">
        <v>4000</v>
      </c>
      <c r="E24" s="68"/>
      <c r="F24" s="75">
        <v>0.25</v>
      </c>
      <c r="G24" s="68"/>
    </row>
    <row r="25" spans="2:7">
      <c r="B25" s="68"/>
      <c r="C25" s="68">
        <v>6</v>
      </c>
      <c r="D25" s="74">
        <v>4000</v>
      </c>
      <c r="E25" s="68"/>
      <c r="F25" s="75">
        <v>0.3</v>
      </c>
      <c r="G25" s="68"/>
    </row>
    <row r="27" spans="2:7">
      <c r="B27" s="68"/>
      <c r="C27" s="68" t="s">
        <v>97</v>
      </c>
      <c r="D27" s="75">
        <v>0.22</v>
      </c>
      <c r="E27" s="68"/>
      <c r="F27" s="68"/>
      <c r="G27" s="68"/>
    </row>
    <row r="28" spans="2:7">
      <c r="B28" s="68"/>
      <c r="C28" s="68" t="s">
        <v>73</v>
      </c>
      <c r="D28" s="73"/>
      <c r="E28" s="68"/>
      <c r="F28" s="68"/>
      <c r="G28" s="68"/>
    </row>
    <row r="29" spans="2:7">
      <c r="B29" s="68"/>
      <c r="C29" s="68" t="s">
        <v>74</v>
      </c>
      <c r="D29" s="72"/>
      <c r="E29" s="68"/>
      <c r="F29" s="68"/>
      <c r="G29" s="68"/>
    </row>
    <row r="31" spans="2:7">
      <c r="B31" s="68" t="s">
        <v>98</v>
      </c>
      <c r="C31" s="68"/>
      <c r="D31" s="68"/>
      <c r="E31" s="68"/>
      <c r="F31" s="68"/>
      <c r="G31" s="68"/>
    </row>
    <row r="33" spans="2:9">
      <c r="B33" s="80" t="s">
        <v>99</v>
      </c>
      <c r="C33" s="71" t="s">
        <v>100</v>
      </c>
      <c r="D33" s="71"/>
      <c r="E33" s="71"/>
      <c r="F33" s="71"/>
      <c r="G33" s="71"/>
      <c r="H33" s="71"/>
      <c r="I33" s="71"/>
    </row>
    <row r="34" spans="2:9">
      <c r="B34" s="68"/>
      <c r="C34" s="68"/>
      <c r="D34" s="68"/>
      <c r="E34" s="68"/>
      <c r="F34" s="68"/>
      <c r="G34" s="68"/>
      <c r="H34" s="68"/>
      <c r="I34" s="68"/>
    </row>
    <row r="35" spans="2:9">
      <c r="B35" s="68"/>
      <c r="C35" s="68"/>
      <c r="D35" s="68" t="s">
        <v>101</v>
      </c>
      <c r="E35" s="68"/>
      <c r="F35" s="68"/>
      <c r="G35" s="68"/>
      <c r="H35" s="68"/>
      <c r="I35" s="68"/>
    </row>
    <row r="36" spans="2:9">
      <c r="B36" s="68"/>
      <c r="C36" s="68"/>
      <c r="D36" s="68" t="s">
        <v>102</v>
      </c>
      <c r="E36" s="68"/>
      <c r="F36" s="68"/>
      <c r="G36" s="68"/>
      <c r="H36" s="68"/>
      <c r="I36" s="68"/>
    </row>
    <row r="37" spans="2:9">
      <c r="B37" s="68"/>
      <c r="C37" s="68"/>
      <c r="D37" s="68" t="s">
        <v>103</v>
      </c>
      <c r="E37" s="68"/>
      <c r="F37" s="68"/>
      <c r="G37" s="68"/>
      <c r="H37" s="68"/>
      <c r="I37" s="68"/>
    </row>
    <row r="39" spans="2:9">
      <c r="B39" s="68"/>
      <c r="C39" s="68"/>
      <c r="D39" s="68" t="s">
        <v>104</v>
      </c>
      <c r="E39" s="68"/>
      <c r="F39" s="68"/>
      <c r="G39" s="68"/>
      <c r="H39" s="68"/>
      <c r="I39" s="68"/>
    </row>
    <row r="41" spans="2:9">
      <c r="B41" s="68"/>
      <c r="C41" s="68"/>
      <c r="D41" s="68" t="s">
        <v>27</v>
      </c>
      <c r="E41" s="68"/>
      <c r="F41" s="68"/>
      <c r="G41" s="68"/>
      <c r="H41" s="68"/>
      <c r="I41" s="77">
        <f>E60</f>
        <v>25.75450611252154</v>
      </c>
    </row>
    <row r="42" spans="2:9">
      <c r="B42" s="68"/>
      <c r="C42" s="68"/>
      <c r="D42" s="68">
        <v>0</v>
      </c>
      <c r="E42" s="76">
        <v>-1000</v>
      </c>
      <c r="F42" s="76"/>
      <c r="G42" s="68"/>
      <c r="H42" s="78">
        <v>0</v>
      </c>
      <c r="I42" s="76">
        <f t="dataTable" ref="I42:I57" dt2D="0" dtr="0" r1="E59"/>
        <v>-50</v>
      </c>
    </row>
    <row r="43" spans="2:9">
      <c r="B43" s="68"/>
      <c r="C43" s="68"/>
      <c r="D43" s="68">
        <v>1</v>
      </c>
      <c r="E43" s="76">
        <v>1200</v>
      </c>
      <c r="F43" s="76"/>
      <c r="G43" s="68"/>
      <c r="H43" s="78">
        <v>0.02</v>
      </c>
      <c r="I43" s="76">
        <v>-9.2830942618356858</v>
      </c>
    </row>
    <row r="44" spans="2:9">
      <c r="B44" s="68"/>
      <c r="C44" s="68"/>
      <c r="D44" s="68">
        <v>2</v>
      </c>
      <c r="E44" s="76">
        <v>0</v>
      </c>
      <c r="F44" s="76"/>
      <c r="G44" s="68"/>
      <c r="H44" s="78">
        <v>0.04</v>
      </c>
      <c r="I44" s="76">
        <v>15.030028167835098</v>
      </c>
    </row>
    <row r="45" spans="2:9">
      <c r="B45" s="68"/>
      <c r="C45" s="68"/>
      <c r="D45" s="68">
        <v>3</v>
      </c>
      <c r="E45" s="76">
        <v>0</v>
      </c>
      <c r="F45" s="76"/>
      <c r="G45" s="68"/>
      <c r="H45" s="78">
        <v>0.06</v>
      </c>
      <c r="I45" s="76">
        <v>27.759206514228026</v>
      </c>
    </row>
    <row r="46" spans="2:9">
      <c r="B46" s="68"/>
      <c r="C46" s="68"/>
      <c r="D46" s="68">
        <v>4</v>
      </c>
      <c r="E46" s="76">
        <v>0</v>
      </c>
      <c r="F46" s="76"/>
      <c r="G46" s="68"/>
      <c r="H46" s="78">
        <v>0.08</v>
      </c>
      <c r="I46" s="76">
        <v>32.300684869638644</v>
      </c>
    </row>
    <row r="47" spans="2:9">
      <c r="B47" s="68"/>
      <c r="C47" s="68"/>
      <c r="D47" s="68">
        <v>5</v>
      </c>
      <c r="E47" s="76">
        <v>0</v>
      </c>
      <c r="F47" s="76"/>
      <c r="G47" s="68"/>
      <c r="H47" s="78">
        <v>0.1</v>
      </c>
      <c r="I47" s="76">
        <v>31.061078566799779</v>
      </c>
    </row>
    <row r="48" spans="2:9">
      <c r="B48" s="68"/>
      <c r="C48" s="68"/>
      <c r="D48" s="68">
        <v>6</v>
      </c>
      <c r="E48" s="76">
        <v>0</v>
      </c>
      <c r="F48" s="76"/>
      <c r="G48" s="68"/>
      <c r="H48" s="78">
        <v>0.12</v>
      </c>
      <c r="I48" s="76">
        <v>25.75450611252154</v>
      </c>
    </row>
    <row r="49" spans="2:10">
      <c r="B49" s="68"/>
      <c r="C49" s="68"/>
      <c r="D49" s="68">
        <v>7</v>
      </c>
      <c r="E49" s="76">
        <v>0</v>
      </c>
      <c r="F49" s="76"/>
      <c r="G49" s="68"/>
      <c r="H49" s="78">
        <v>0.14000000000000001</v>
      </c>
      <c r="I49" s="76">
        <v>17.607458430078623</v>
      </c>
      <c r="J49" s="68"/>
    </row>
    <row r="50" spans="2:10">
      <c r="B50" s="68"/>
      <c r="C50" s="68"/>
      <c r="D50" s="68">
        <v>8</v>
      </c>
      <c r="E50" s="76">
        <v>0</v>
      </c>
      <c r="F50" s="76"/>
      <c r="G50" s="68"/>
      <c r="H50" s="78">
        <v>0.16</v>
      </c>
      <c r="I50" s="76">
        <v>7.501005125185884</v>
      </c>
      <c r="J50" s="68"/>
    </row>
    <row r="51" spans="2:10">
      <c r="B51" s="68"/>
      <c r="C51" s="68"/>
      <c r="D51" s="68">
        <v>9</v>
      </c>
      <c r="E51" s="76">
        <v>0</v>
      </c>
      <c r="F51" s="76"/>
      <c r="G51" s="68"/>
      <c r="H51" s="78">
        <v>0.18</v>
      </c>
      <c r="I51" s="76">
        <v>-3.929857303151266</v>
      </c>
      <c r="J51" s="68"/>
    </row>
    <row r="52" spans="2:10">
      <c r="B52" s="68"/>
      <c r="C52" s="68"/>
      <c r="D52" s="68">
        <v>10</v>
      </c>
      <c r="E52" s="76">
        <v>0</v>
      </c>
      <c r="F52" s="76"/>
      <c r="G52" s="68"/>
      <c r="H52" s="78">
        <v>0.2</v>
      </c>
      <c r="I52" s="76">
        <v>-16.226367879718623</v>
      </c>
      <c r="J52" s="68"/>
    </row>
    <row r="53" spans="2:10">
      <c r="B53" s="68"/>
      <c r="C53" s="68"/>
      <c r="D53" s="68">
        <v>11</v>
      </c>
      <c r="E53" s="76">
        <v>0</v>
      </c>
      <c r="F53" s="76"/>
      <c r="G53" s="68"/>
      <c r="H53" s="78">
        <v>0.22</v>
      </c>
      <c r="I53" s="76">
        <v>-29.056615869377879</v>
      </c>
      <c r="J53" s="68"/>
    </row>
    <row r="54" spans="2:10">
      <c r="B54" s="68"/>
      <c r="C54" s="68"/>
      <c r="D54" s="68">
        <v>12</v>
      </c>
      <c r="E54" s="76">
        <v>0</v>
      </c>
      <c r="F54" s="76"/>
      <c r="G54" s="68"/>
      <c r="H54" s="78">
        <v>0.24</v>
      </c>
      <c r="I54" s="76">
        <v>-42.180418834388547</v>
      </c>
      <c r="J54" s="68"/>
    </row>
    <row r="55" spans="2:10">
      <c r="B55" s="68"/>
      <c r="C55" s="68"/>
      <c r="D55" s="68">
        <v>13</v>
      </c>
      <c r="E55" s="76">
        <v>0</v>
      </c>
      <c r="F55" s="76"/>
      <c r="G55" s="68"/>
      <c r="H55" s="78">
        <v>0.26</v>
      </c>
      <c r="I55" s="76">
        <v>-55.424208009106337</v>
      </c>
      <c r="J55" s="68"/>
    </row>
    <row r="56" spans="2:10">
      <c r="B56" s="68"/>
      <c r="C56" s="68"/>
      <c r="D56" s="68">
        <v>14</v>
      </c>
      <c r="E56" s="76">
        <v>0</v>
      </c>
      <c r="F56" s="76"/>
      <c r="G56" s="68"/>
      <c r="H56" s="78">
        <v>0.28000000000000003</v>
      </c>
      <c r="I56" s="76">
        <v>-68.66297582203913</v>
      </c>
      <c r="J56" s="68"/>
    </row>
    <row r="57" spans="2:10">
      <c r="B57" s="68"/>
      <c r="C57" s="68"/>
      <c r="D57" s="68">
        <v>15</v>
      </c>
      <c r="E57" s="76">
        <v>-250</v>
      </c>
      <c r="F57" s="76"/>
      <c r="G57" s="68"/>
      <c r="H57" s="78">
        <v>0.3</v>
      </c>
      <c r="I57" s="76">
        <v>-81.80723514087299</v>
      </c>
      <c r="J57" s="68"/>
    </row>
    <row r="59" spans="2:10">
      <c r="B59" s="68"/>
      <c r="C59" s="68"/>
      <c r="D59" s="68" t="s">
        <v>105</v>
      </c>
      <c r="E59" s="75">
        <v>0.12</v>
      </c>
      <c r="F59" s="68"/>
      <c r="G59" s="68"/>
      <c r="H59" s="68"/>
      <c r="I59" s="68"/>
      <c r="J59" s="68"/>
    </row>
    <row r="60" spans="2:10">
      <c r="B60" s="68"/>
      <c r="C60" s="68"/>
      <c r="D60" s="68" t="s">
        <v>73</v>
      </c>
      <c r="E60" s="79">
        <f>NPV(E59,E43:E57)+E42</f>
        <v>25.75450611252154</v>
      </c>
      <c r="F60" s="68"/>
      <c r="G60" s="68"/>
      <c r="H60" s="68"/>
      <c r="I60" s="68"/>
      <c r="J60" s="68"/>
    </row>
    <row r="61" spans="2:10">
      <c r="B61" s="68"/>
      <c r="C61" s="68"/>
      <c r="D61" s="68"/>
      <c r="E61" s="76"/>
      <c r="F61" s="68"/>
      <c r="G61" s="68"/>
      <c r="H61" s="68"/>
      <c r="I61" s="68"/>
      <c r="J61" s="68"/>
    </row>
    <row r="62" spans="2:10">
      <c r="B62" s="80" t="s">
        <v>106</v>
      </c>
      <c r="C62" s="71" t="s">
        <v>107</v>
      </c>
      <c r="D62" s="71"/>
      <c r="E62" s="83"/>
      <c r="F62" s="71"/>
      <c r="G62" s="71"/>
      <c r="H62" s="71"/>
      <c r="I62" s="71"/>
      <c r="J62" s="71"/>
    </row>
    <row r="64" spans="2:10">
      <c r="B64" s="68"/>
      <c r="C64" s="68"/>
      <c r="D64" s="68"/>
      <c r="E64" s="68"/>
      <c r="F64" s="68"/>
      <c r="G64" s="68"/>
      <c r="H64" s="68"/>
      <c r="I64" s="82">
        <f>E77</f>
        <v>165.04088766912309</v>
      </c>
      <c r="J64" s="82">
        <f>F77</f>
        <v>465.22137564246623</v>
      </c>
    </row>
    <row r="65" spans="4:10">
      <c r="D65" s="71" t="s">
        <v>27</v>
      </c>
      <c r="E65" s="71" t="s">
        <v>108</v>
      </c>
      <c r="F65" s="71" t="s">
        <v>109</v>
      </c>
      <c r="G65" s="68"/>
      <c r="H65" s="78">
        <v>0</v>
      </c>
      <c r="I65" s="76">
        <f t="dataTable" ref="I65:J80" dt2D="0" dtr="0" r1="E75"/>
        <v>560</v>
      </c>
      <c r="J65" s="76">
        <v>2700</v>
      </c>
    </row>
    <row r="66" spans="4:10">
      <c r="D66" s="68">
        <v>0</v>
      </c>
      <c r="E66" s="79">
        <v>-2000</v>
      </c>
      <c r="F66" s="79">
        <v>-2000</v>
      </c>
      <c r="G66" s="68"/>
      <c r="H66" s="78">
        <v>0.02</v>
      </c>
      <c r="I66" s="76">
        <v>470.76643674407478</v>
      </c>
      <c r="J66" s="76">
        <v>2116.223583029192</v>
      </c>
    </row>
    <row r="67" spans="4:10">
      <c r="D67" s="68">
        <v>1</v>
      </c>
      <c r="E67" s="79">
        <v>1200</v>
      </c>
      <c r="F67" s="79">
        <v>-350</v>
      </c>
      <c r="G67" s="68"/>
      <c r="H67" s="78">
        <v>0.04</v>
      </c>
      <c r="I67" s="76">
        <v>387.1129278292342</v>
      </c>
      <c r="J67" s="76">
        <v>1612.0056966346301</v>
      </c>
    </row>
    <row r="68" spans="4:10">
      <c r="D68" s="68">
        <v>2</v>
      </c>
      <c r="E68" s="79">
        <v>900</v>
      </c>
      <c r="F68" s="79">
        <v>-60</v>
      </c>
      <c r="G68" s="68"/>
      <c r="H68" s="78">
        <v>0.06</v>
      </c>
      <c r="I68" s="76">
        <v>308.55455441266577</v>
      </c>
      <c r="J68" s="76">
        <v>1175.2147611455002</v>
      </c>
    </row>
    <row r="69" spans="4:10">
      <c r="D69" s="68">
        <v>3</v>
      </c>
      <c r="E69" s="79">
        <v>300</v>
      </c>
      <c r="F69" s="79">
        <v>60</v>
      </c>
      <c r="G69" s="68"/>
      <c r="H69" s="78">
        <v>0.08</v>
      </c>
      <c r="I69" s="76">
        <v>234.65923223281015</v>
      </c>
      <c r="J69" s="76">
        <v>795.76087656511527</v>
      </c>
    </row>
    <row r="70" spans="4:10">
      <c r="D70" s="68">
        <v>4</v>
      </c>
      <c r="E70" s="79">
        <v>90</v>
      </c>
      <c r="F70" s="79">
        <v>350</v>
      </c>
      <c r="G70" s="68"/>
      <c r="H70" s="78">
        <v>0.1</v>
      </c>
      <c r="I70" s="76">
        <v>165.04088766912309</v>
      </c>
      <c r="J70" s="76">
        <v>465.22137564246623</v>
      </c>
    </row>
    <row r="71" spans="4:10">
      <c r="D71" s="68">
        <v>5</v>
      </c>
      <c r="E71" s="79">
        <v>70</v>
      </c>
      <c r="F71" s="79">
        <v>700</v>
      </c>
      <c r="G71" s="68"/>
      <c r="H71" s="78">
        <v>0.12</v>
      </c>
      <c r="I71" s="76">
        <v>99.353642525249597</v>
      </c>
      <c r="J71" s="76">
        <v>176.54045701654013</v>
      </c>
    </row>
    <row r="72" spans="4:10">
      <c r="D72" s="68">
        <v>6</v>
      </c>
      <c r="E72" s="79">
        <v>0</v>
      </c>
      <c r="F72" s="79">
        <v>1200</v>
      </c>
      <c r="G72" s="68"/>
      <c r="H72" s="78">
        <v>0.14000000000000001</v>
      </c>
      <c r="I72" s="76">
        <v>37.286840899745812</v>
      </c>
      <c r="J72" s="76">
        <v>-76.212782159823291</v>
      </c>
    </row>
    <row r="73" spans="4:10">
      <c r="D73" s="68">
        <v>7</v>
      </c>
      <c r="E73" s="79">
        <v>0</v>
      </c>
      <c r="F73" s="79">
        <v>2800</v>
      </c>
      <c r="G73" s="68"/>
      <c r="H73" s="78">
        <v>0.16</v>
      </c>
      <c r="I73" s="76">
        <v>-21.439218251498232</v>
      </c>
      <c r="J73" s="76">
        <v>-298.04006726805505</v>
      </c>
    </row>
    <row r="74" spans="4:10">
      <c r="D74" s="68"/>
      <c r="E74" s="68"/>
      <c r="F74" s="68"/>
      <c r="G74" s="68"/>
      <c r="H74" s="78">
        <v>0.18</v>
      </c>
      <c r="I74" s="76">
        <v>-77.076954968626524</v>
      </c>
      <c r="J74" s="76">
        <v>-493.17288527234791</v>
      </c>
    </row>
    <row r="75" spans="4:10">
      <c r="D75" s="68" t="s">
        <v>110</v>
      </c>
      <c r="E75" s="75">
        <v>0.1</v>
      </c>
      <c r="F75" s="75">
        <f>E75</f>
        <v>0.1</v>
      </c>
      <c r="G75" s="68"/>
      <c r="H75" s="78">
        <v>0.2</v>
      </c>
      <c r="I75" s="76">
        <v>-129.85468106995836</v>
      </c>
      <c r="J75" s="76">
        <v>-665.20204618198431</v>
      </c>
    </row>
    <row r="76" spans="4:10">
      <c r="D76" s="68" t="s">
        <v>74</v>
      </c>
      <c r="E76" s="81">
        <f>IRR(E66:E73)</f>
        <v>0.15257139008519277</v>
      </c>
      <c r="F76" s="81">
        <f>IRR(F66:F73)</f>
        <v>0.13368767530042189</v>
      </c>
      <c r="G76" s="68"/>
      <c r="H76" s="78">
        <v>0.22</v>
      </c>
      <c r="I76" s="76">
        <v>-179.97934850060392</v>
      </c>
      <c r="J76" s="76">
        <v>-817.18368556081828</v>
      </c>
    </row>
    <row r="77" spans="4:10">
      <c r="D77" s="68" t="s">
        <v>73</v>
      </c>
      <c r="E77" s="82">
        <f>NPV(E75,E67:E73)+E66</f>
        <v>165.04088766912309</v>
      </c>
      <c r="F77" s="82">
        <f>NPV(F75,F67:F73)+F66</f>
        <v>465.22137564246623</v>
      </c>
      <c r="G77" s="68"/>
      <c r="H77" s="78">
        <v>0.24</v>
      </c>
      <c r="I77" s="76">
        <v>-227.63893697022309</v>
      </c>
      <c r="J77" s="76">
        <v>-951.72630021118266</v>
      </c>
    </row>
    <row r="78" spans="4:10">
      <c r="D78" s="68"/>
      <c r="E78" s="68"/>
      <c r="F78" s="68"/>
      <c r="G78" s="68"/>
      <c r="H78" s="78">
        <v>0.26</v>
      </c>
      <c r="I78" s="76">
        <v>-273.0045340541235</v>
      </c>
      <c r="J78" s="76">
        <v>-1071.0624562332694</v>
      </c>
    </row>
    <row r="79" spans="4:10">
      <c r="D79" s="68"/>
      <c r="E79" s="68"/>
      <c r="F79" s="68"/>
      <c r="G79" s="68"/>
      <c r="H79" s="78">
        <v>0.28000000000000003</v>
      </c>
      <c r="I79" s="76">
        <v>-316.23215228319168</v>
      </c>
      <c r="J79" s="76">
        <v>-1177.1080650505612</v>
      </c>
    </row>
    <row r="80" spans="4:10">
      <c r="D80" s="68"/>
      <c r="E80" s="68"/>
      <c r="F80" s="68"/>
      <c r="G80" s="68"/>
      <c r="H80" s="78">
        <v>0.3</v>
      </c>
      <c r="I80" s="76">
        <v>-357.4643206308765</v>
      </c>
      <c r="J80" s="76">
        <v>-1271.5115402647689</v>
      </c>
    </row>
    <row r="81" spans="2:10">
      <c r="D81" s="68"/>
    </row>
    <row r="84" spans="2:10">
      <c r="B84" s="80" t="s">
        <v>111</v>
      </c>
      <c r="C84" s="71" t="s">
        <v>112</v>
      </c>
      <c r="D84" s="71"/>
      <c r="E84" s="83"/>
    </row>
    <row r="85" spans="2:10">
      <c r="B85" s="68"/>
      <c r="C85" s="71" t="s">
        <v>113</v>
      </c>
      <c r="D85" s="68"/>
      <c r="E85" s="68"/>
    </row>
    <row r="87" spans="2:10">
      <c r="B87" s="80" t="s">
        <v>114</v>
      </c>
      <c r="C87" s="71" t="s">
        <v>115</v>
      </c>
      <c r="D87" s="68"/>
      <c r="E87" s="68"/>
    </row>
    <row r="88" spans="2:10">
      <c r="B88" s="68"/>
      <c r="C88" s="71" t="s">
        <v>116</v>
      </c>
      <c r="D88" s="68"/>
      <c r="E88" s="68"/>
    </row>
    <row r="89" spans="2:10">
      <c r="B89" s="68"/>
      <c r="C89" s="68"/>
      <c r="D89" s="68"/>
      <c r="E89" s="68"/>
      <c r="I89" s="112" t="s">
        <v>123</v>
      </c>
      <c r="J89" s="112"/>
    </row>
    <row r="90" spans="2:10" s="68" customFormat="1">
      <c r="D90" s="71" t="s">
        <v>27</v>
      </c>
      <c r="E90" s="85" t="s">
        <v>108</v>
      </c>
      <c r="F90" s="85" t="s">
        <v>109</v>
      </c>
      <c r="G90" s="86"/>
      <c r="H90" s="86"/>
      <c r="I90" s="85" t="s">
        <v>108</v>
      </c>
      <c r="J90" s="85" t="s">
        <v>109</v>
      </c>
    </row>
    <row r="91" spans="2:10" s="68" customFormat="1">
      <c r="D91" s="68">
        <v>0</v>
      </c>
      <c r="E91" s="79">
        <v>-2000</v>
      </c>
      <c r="F91" s="79">
        <v>-2000</v>
      </c>
    </row>
    <row r="92" spans="2:10" s="68" customFormat="1">
      <c r="D92" s="68">
        <v>1</v>
      </c>
      <c r="E92" s="79">
        <v>1200</v>
      </c>
      <c r="F92" s="79">
        <v>-350</v>
      </c>
      <c r="I92" s="82">
        <f>FV(E$101,7-$D92,0,-E92)</f>
        <v>2813.1199858877649</v>
      </c>
      <c r="J92" s="82">
        <f>FV(F$101,7-$D92,0,-F92)</f>
        <v>-743.06806366567491</v>
      </c>
    </row>
    <row r="93" spans="2:10" s="68" customFormat="1">
      <c r="D93" s="68">
        <v>2</v>
      </c>
      <c r="E93" s="79">
        <v>900</v>
      </c>
      <c r="F93" s="79">
        <v>-60</v>
      </c>
      <c r="I93" s="82">
        <f t="shared" ref="I93:J98" si="0">FV(E$101,7-$D93,0,-E93)</f>
        <v>1830.5503742027411</v>
      </c>
      <c r="J93" s="82">
        <f t="shared" si="0"/>
        <v>-112.3617195491214</v>
      </c>
    </row>
    <row r="94" spans="2:10" s="68" customFormat="1">
      <c r="D94" s="68">
        <v>3</v>
      </c>
      <c r="E94" s="79">
        <v>300</v>
      </c>
      <c r="F94" s="79">
        <v>60</v>
      </c>
      <c r="I94" s="82">
        <f t="shared" si="0"/>
        <v>529.41055392887938</v>
      </c>
      <c r="J94" s="82">
        <f t="shared" si="0"/>
        <v>99.111705981408036</v>
      </c>
    </row>
    <row r="95" spans="2:10">
      <c r="B95" s="68"/>
      <c r="C95" s="68"/>
      <c r="D95" s="68">
        <v>4</v>
      </c>
      <c r="E95" s="79">
        <v>90</v>
      </c>
      <c r="F95" s="79">
        <v>350</v>
      </c>
      <c r="I95" s="82">
        <f t="shared" si="0"/>
        <v>137.79898368544815</v>
      </c>
      <c r="J95" s="82">
        <f t="shared" si="0"/>
        <v>509.97433492577466</v>
      </c>
    </row>
    <row r="96" spans="2:10" s="68" customFormat="1">
      <c r="D96" s="68">
        <v>5</v>
      </c>
      <c r="E96" s="79">
        <v>70</v>
      </c>
      <c r="F96" s="79">
        <v>700</v>
      </c>
      <c r="I96" s="82">
        <f t="shared" si="0"/>
        <v>92.989456647003962</v>
      </c>
      <c r="J96" s="82">
        <f t="shared" si="0"/>
        <v>899.67342158965243</v>
      </c>
    </row>
    <row r="97" spans="3:10" s="68" customFormat="1">
      <c r="D97" s="68">
        <v>6</v>
      </c>
      <c r="E97" s="79">
        <v>0</v>
      </c>
      <c r="F97" s="79">
        <v>1200</v>
      </c>
      <c r="I97" s="82">
        <f t="shared" si="0"/>
        <v>0</v>
      </c>
      <c r="J97" s="82">
        <f t="shared" si="0"/>
        <v>1360.4252103605063</v>
      </c>
    </row>
    <row r="98" spans="3:10" s="68" customFormat="1" ht="17.25">
      <c r="D98" s="68">
        <v>7</v>
      </c>
      <c r="E98" s="79">
        <v>0</v>
      </c>
      <c r="F98" s="79">
        <v>2800</v>
      </c>
      <c r="I98" s="84">
        <f t="shared" si="0"/>
        <v>0</v>
      </c>
      <c r="J98" s="84">
        <f t="shared" si="0"/>
        <v>2800</v>
      </c>
    </row>
    <row r="99" spans="3:10" s="68" customFormat="1">
      <c r="I99" s="82">
        <f>SUM(I92:I98)</f>
        <v>5403.8693543518375</v>
      </c>
      <c r="J99" s="82">
        <f>SUM(J92:J98)</f>
        <v>4813.7548896425451</v>
      </c>
    </row>
    <row r="100" spans="3:10" s="68" customFormat="1">
      <c r="D100" s="68" t="s">
        <v>110</v>
      </c>
      <c r="E100" s="75">
        <v>0.1</v>
      </c>
      <c r="F100" s="75">
        <f>E100</f>
        <v>0.1</v>
      </c>
    </row>
    <row r="101" spans="3:10" s="68" customFormat="1">
      <c r="D101" s="68" t="s">
        <v>74</v>
      </c>
      <c r="E101" s="81">
        <f>IRR(E91:E98)</f>
        <v>0.15257139008519277</v>
      </c>
      <c r="F101" s="81">
        <f>IRR(F91:F98)</f>
        <v>0.13368767530042189</v>
      </c>
      <c r="I101" s="81">
        <f>RATE(7,0,E91,I99)</f>
        <v>0.15257139008519288</v>
      </c>
      <c r="J101" s="81">
        <f>RATE(7,0,F91,J99)</f>
        <v>0.1336876753004656</v>
      </c>
    </row>
    <row r="102" spans="3:10" s="68" customFormat="1">
      <c r="D102" s="68" t="s">
        <v>73</v>
      </c>
      <c r="E102" s="82">
        <f>NPV(E100,E92:E98)+E91</f>
        <v>165.04088766912309</v>
      </c>
      <c r="F102" s="82">
        <f>NPV(F100,F92:F98)+F91</f>
        <v>465.22137564246623</v>
      </c>
    </row>
    <row r="103" spans="3:10" s="68" customFormat="1"/>
    <row r="104" spans="3:10" s="68" customFormat="1">
      <c r="C104" s="68" t="s">
        <v>124</v>
      </c>
    </row>
    <row r="105" spans="3:10" s="68" customFormat="1">
      <c r="C105" s="68" t="s">
        <v>125</v>
      </c>
    </row>
    <row r="106" spans="3:10" s="68" customFormat="1"/>
    <row r="107" spans="3:10" s="68" customFormat="1">
      <c r="D107" s="68" t="s">
        <v>126</v>
      </c>
    </row>
    <row r="108" spans="3:10" s="68" customFormat="1">
      <c r="D108" s="68" t="s">
        <v>127</v>
      </c>
    </row>
    <row r="109" spans="3:10" s="68" customFormat="1"/>
    <row r="110" spans="3:10" s="68" customFormat="1">
      <c r="C110" s="68" t="s">
        <v>128</v>
      </c>
    </row>
    <row r="111" spans="3:10" s="68" customFormat="1">
      <c r="C111" s="68" t="s">
        <v>129</v>
      </c>
    </row>
    <row r="112" spans="3:10" s="68" customFormat="1">
      <c r="C112" s="68" t="s">
        <v>130</v>
      </c>
    </row>
    <row r="113" spans="2:10" s="68" customFormat="1">
      <c r="C113" s="68" t="s">
        <v>131</v>
      </c>
    </row>
    <row r="114" spans="2:10" s="68" customFormat="1">
      <c r="C114" s="68" t="s">
        <v>132</v>
      </c>
    </row>
    <row r="116" spans="2:10">
      <c r="B116" s="71" t="s">
        <v>117</v>
      </c>
      <c r="C116" s="68"/>
      <c r="D116" s="68"/>
      <c r="E116" s="68"/>
    </row>
    <row r="118" spans="2:10">
      <c r="B118" s="68"/>
      <c r="C118" s="68" t="s">
        <v>118</v>
      </c>
      <c r="D118" s="68"/>
      <c r="E118" s="68"/>
    </row>
    <row r="119" spans="2:10">
      <c r="B119" s="68"/>
      <c r="C119" s="68" t="s">
        <v>119</v>
      </c>
      <c r="D119" s="68"/>
      <c r="E119" s="68"/>
    </row>
    <row r="120" spans="2:10">
      <c r="B120" s="68"/>
      <c r="C120" s="68" t="s">
        <v>120</v>
      </c>
      <c r="D120" s="68"/>
      <c r="E120" s="68"/>
    </row>
    <row r="122" spans="2:10">
      <c r="C122" s="68" t="s">
        <v>121</v>
      </c>
      <c r="D122" s="68"/>
      <c r="E122" s="68"/>
      <c r="F122" s="68"/>
      <c r="G122" s="68"/>
      <c r="H122" s="68"/>
      <c r="I122" s="68"/>
      <c r="J122" s="68"/>
    </row>
    <row r="124" spans="2:10">
      <c r="C124" s="68" t="s">
        <v>104</v>
      </c>
      <c r="D124" s="68"/>
      <c r="E124" s="68"/>
      <c r="F124" s="68"/>
      <c r="G124" s="68"/>
      <c r="H124" s="68"/>
      <c r="I124" s="68"/>
      <c r="J124" s="68"/>
    </row>
    <row r="125" spans="2:10">
      <c r="I125" s="114" t="s">
        <v>122</v>
      </c>
      <c r="J125" s="114"/>
    </row>
    <row r="126" spans="2:10">
      <c r="C126" s="68"/>
      <c r="D126" s="68"/>
      <c r="E126" s="68"/>
      <c r="F126" s="68"/>
      <c r="G126" s="68"/>
      <c r="H126" s="68"/>
      <c r="I126" s="113" t="s">
        <v>133</v>
      </c>
      <c r="J126" s="113"/>
    </row>
    <row r="127" spans="2:10">
      <c r="C127" s="68"/>
      <c r="D127" s="71" t="s">
        <v>27</v>
      </c>
      <c r="E127" s="85" t="s">
        <v>108</v>
      </c>
      <c r="F127" s="85" t="s">
        <v>109</v>
      </c>
      <c r="G127" s="86"/>
      <c r="H127" s="86"/>
      <c r="I127" s="87" t="s">
        <v>108</v>
      </c>
      <c r="J127" s="87" t="s">
        <v>109</v>
      </c>
    </row>
    <row r="128" spans="2:10">
      <c r="C128" s="68"/>
      <c r="D128" s="68">
        <v>0</v>
      </c>
      <c r="E128" s="79">
        <v>-2000</v>
      </c>
      <c r="F128" s="79">
        <v>-2000</v>
      </c>
      <c r="G128" s="68"/>
      <c r="H128" s="68"/>
      <c r="I128" s="82"/>
      <c r="J128" s="82"/>
    </row>
    <row r="129" spans="3:11">
      <c r="C129" s="68"/>
      <c r="D129" s="68">
        <v>1</v>
      </c>
      <c r="E129" s="79">
        <v>1200</v>
      </c>
      <c r="F129" s="79">
        <v>-350</v>
      </c>
      <c r="G129" s="68"/>
      <c r="H129" s="68"/>
      <c r="I129" s="82">
        <f>FV($E$137,7-$D129,0,-E129)</f>
        <v>2125.8732000000009</v>
      </c>
      <c r="J129" s="82">
        <f>FV($E$137,7-$D129,0,-F129)</f>
        <v>-620.0463500000003</v>
      </c>
    </row>
    <row r="130" spans="3:11">
      <c r="C130" s="68"/>
      <c r="D130" s="68">
        <v>2</v>
      </c>
      <c r="E130" s="79">
        <v>900</v>
      </c>
      <c r="F130" s="79">
        <v>-60</v>
      </c>
      <c r="G130" s="68"/>
      <c r="H130" s="68"/>
      <c r="I130" s="82">
        <f t="shared" ref="I130:J135" si="1">FV($E$137,7-$D130,0,-E130)</f>
        <v>1449.4590000000005</v>
      </c>
      <c r="J130" s="82">
        <f t="shared" si="1"/>
        <v>-96.63060000000003</v>
      </c>
    </row>
    <row r="131" spans="3:11">
      <c r="C131" s="68"/>
      <c r="D131" s="68">
        <v>3</v>
      </c>
      <c r="E131" s="79">
        <v>300</v>
      </c>
      <c r="F131" s="79">
        <v>60</v>
      </c>
      <c r="G131" s="68"/>
      <c r="H131" s="68"/>
      <c r="I131" s="82">
        <f t="shared" si="1"/>
        <v>439.23000000000013</v>
      </c>
      <c r="J131" s="82">
        <f t="shared" si="1"/>
        <v>87.846000000000018</v>
      </c>
    </row>
    <row r="132" spans="3:11">
      <c r="C132" s="68"/>
      <c r="D132" s="68">
        <v>4</v>
      </c>
      <c r="E132" s="79">
        <v>90</v>
      </c>
      <c r="F132" s="79">
        <v>350</v>
      </c>
      <c r="G132" s="68"/>
      <c r="H132" s="68"/>
      <c r="I132" s="82">
        <f t="shared" si="1"/>
        <v>119.79000000000003</v>
      </c>
      <c r="J132" s="82">
        <f t="shared" si="1"/>
        <v>465.85000000000014</v>
      </c>
    </row>
    <row r="133" spans="3:11">
      <c r="C133" s="68"/>
      <c r="D133" s="68">
        <v>5</v>
      </c>
      <c r="E133" s="79">
        <v>70</v>
      </c>
      <c r="F133" s="79">
        <v>700</v>
      </c>
      <c r="G133" s="68"/>
      <c r="H133" s="68"/>
      <c r="I133" s="82">
        <f t="shared" si="1"/>
        <v>84.700000000000017</v>
      </c>
      <c r="J133" s="82">
        <f t="shared" si="1"/>
        <v>847.00000000000011</v>
      </c>
    </row>
    <row r="134" spans="3:11" s="68" customFormat="1">
      <c r="D134" s="68">
        <v>6</v>
      </c>
      <c r="E134" s="79">
        <v>0</v>
      </c>
      <c r="F134" s="79">
        <v>1200</v>
      </c>
      <c r="I134" s="82">
        <f t="shared" si="1"/>
        <v>0</v>
      </c>
      <c r="J134" s="82">
        <f t="shared" si="1"/>
        <v>1320</v>
      </c>
    </row>
    <row r="135" spans="3:11" s="68" customFormat="1">
      <c r="D135" s="68">
        <v>7</v>
      </c>
      <c r="E135" s="79">
        <v>0</v>
      </c>
      <c r="F135" s="79">
        <v>2800</v>
      </c>
      <c r="I135" s="63">
        <f t="shared" si="1"/>
        <v>0</v>
      </c>
      <c r="J135" s="63">
        <f t="shared" si="1"/>
        <v>2800</v>
      </c>
    </row>
    <row r="136" spans="3:11" s="68" customFormat="1">
      <c r="I136" s="82">
        <f>SUM(I129:I135)</f>
        <v>4219.0522000000019</v>
      </c>
      <c r="J136" s="82">
        <f>SUM(J129:J135)</f>
        <v>4804.0190499999999</v>
      </c>
    </row>
    <row r="137" spans="3:11">
      <c r="C137" s="68"/>
      <c r="D137" s="68" t="s">
        <v>110</v>
      </c>
      <c r="E137" s="75">
        <v>0.1</v>
      </c>
      <c r="F137" s="75">
        <f>E137</f>
        <v>0.1</v>
      </c>
      <c r="G137" s="68"/>
      <c r="H137" s="68"/>
      <c r="I137" s="82"/>
      <c r="J137" s="82"/>
    </row>
    <row r="138" spans="3:11">
      <c r="C138" s="68"/>
      <c r="D138" s="68" t="s">
        <v>74</v>
      </c>
      <c r="E138" s="81">
        <f>IRR(E128:E135)</f>
        <v>0.15257139008519277</v>
      </c>
      <c r="F138" s="81">
        <f>IRR(F128:F135)</f>
        <v>0.13368767530042189</v>
      </c>
      <c r="G138" s="68"/>
      <c r="H138" s="68"/>
      <c r="I138" s="114" t="s">
        <v>134</v>
      </c>
      <c r="J138" s="114"/>
    </row>
    <row r="139" spans="3:11">
      <c r="C139" s="68"/>
      <c r="D139" s="68" t="s">
        <v>73</v>
      </c>
      <c r="E139" s="82">
        <f>NPV(E137,E129:E135)+E128</f>
        <v>165.04088766912309</v>
      </c>
      <c r="F139" s="82">
        <f>NPV(F137,F129:F135)+F128</f>
        <v>465.22137564246623</v>
      </c>
      <c r="G139" s="68"/>
      <c r="H139" s="68"/>
      <c r="I139" s="81"/>
      <c r="J139" s="81"/>
      <c r="K139" s="88" t="s">
        <v>135</v>
      </c>
    </row>
    <row r="140" spans="3:11">
      <c r="C140" s="68"/>
      <c r="D140" s="68"/>
      <c r="E140" s="68"/>
      <c r="F140" s="68"/>
      <c r="G140" s="68"/>
      <c r="H140" s="68"/>
      <c r="I140" s="68"/>
      <c r="J140" s="72"/>
      <c r="K140" s="89" t="s">
        <v>136</v>
      </c>
    </row>
    <row r="141" spans="3:11">
      <c r="C141" s="68"/>
      <c r="D141" s="68"/>
      <c r="E141" s="68"/>
      <c r="F141" s="68"/>
      <c r="G141" s="72"/>
      <c r="K141" s="89" t="s">
        <v>137</v>
      </c>
    </row>
    <row r="142" spans="3:11" s="68" customFormat="1">
      <c r="G142" s="72"/>
      <c r="K142" s="89" t="s">
        <v>138</v>
      </c>
    </row>
    <row r="143" spans="3:11" s="68" customFormat="1">
      <c r="G143" s="72"/>
    </row>
    <row r="144" spans="3:11" s="68" customFormat="1">
      <c r="C144" s="68" t="s">
        <v>139</v>
      </c>
      <c r="G144" s="72"/>
    </row>
    <row r="145" spans="4:7" s="68" customFormat="1" ht="15.75" thickBot="1">
      <c r="G145" s="72"/>
    </row>
    <row r="146" spans="4:7" s="68" customFormat="1" ht="15.75" thickBot="1">
      <c r="D146" s="68" t="s">
        <v>140</v>
      </c>
      <c r="E146" s="90">
        <f>MIRR(E128:E135,0.1,0.1)</f>
        <v>0.1125310200630445</v>
      </c>
      <c r="F146" s="90">
        <f>MIRR(F128:F135,E137,E137)</f>
        <v>0.12855331930739156</v>
      </c>
      <c r="G146" s="72"/>
    </row>
    <row r="147" spans="4:7" s="68" customFormat="1">
      <c r="G147" s="72"/>
    </row>
  </sheetData>
  <mergeCells count="4">
    <mergeCell ref="I89:J89"/>
    <mergeCell ref="I126:J126"/>
    <mergeCell ref="I125:J125"/>
    <mergeCell ref="I138:J13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Inputs-Outputs</vt:lpstr>
      <vt:lpstr>CF Detail</vt:lpstr>
      <vt:lpstr>Depn-ATSV</vt:lpstr>
      <vt:lpstr>Payback</vt:lpstr>
      <vt:lpstr>IRR-MIRR</vt:lpstr>
      <vt:lpstr>Life</vt:lpstr>
      <vt:lpstr>TaxRate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</cp:lastModifiedBy>
  <dcterms:created xsi:type="dcterms:W3CDTF">2009-11-04T19:14:33Z</dcterms:created>
  <dcterms:modified xsi:type="dcterms:W3CDTF">2010-07-16T12:29:24Z</dcterms:modified>
</cp:coreProperties>
</file>